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9135" yWindow="915" windowWidth="8985" windowHeight="5955" tabRatio="926" activeTab="9"/>
  </bookViews>
  <sheets>
    <sheet name="Title" sheetId="112" r:id="rId1"/>
    <sheet name="Checklist" sheetId="57" r:id="rId2"/>
    <sheet name="F1" sheetId="58" r:id="rId3"/>
    <sheet name="F2" sheetId="66" r:id="rId4"/>
    <sheet name="F3" sheetId="93" r:id="rId5"/>
    <sheet name="F3.1" sheetId="101" r:id="rId6"/>
    <sheet name="F3.2" sheetId="109" r:id="rId7"/>
    <sheet name="F4" sheetId="102" r:id="rId8"/>
    <sheet name="F5" sheetId="126" r:id="rId9"/>
    <sheet name="F6" sheetId="104" r:id="rId10"/>
    <sheet name="F7" sheetId="105" r:id="rId11"/>
    <sheet name="F8" sheetId="106" r:id="rId12"/>
    <sheet name="F9" sheetId="64" r:id="rId13"/>
    <sheet name="F10" sheetId="81" r:id="rId14"/>
    <sheet name="F11" sheetId="119" r:id="rId15"/>
    <sheet name="F11.1" sheetId="118" r:id="rId16"/>
    <sheet name="F12" sheetId="110" r:id="rId17"/>
    <sheet name="F13" sheetId="117" r:id="rId18"/>
    <sheet name="F14" sheetId="123" r:id="rId19"/>
    <sheet name="F15" sheetId="124" r:id="rId20"/>
    <sheet name="F17" sheetId="113" r:id="rId21"/>
    <sheet name="F19.1" sheetId="82" r:id="rId22"/>
    <sheet name="F19.2" sheetId="83" r:id="rId23"/>
    <sheet name="F19.3" sheetId="125" r:id="rId24"/>
    <sheet name="F19.4" sheetId="85" r:id="rId25"/>
    <sheet name="F19.5" sheetId="86" r:id="rId26"/>
    <sheet name="F19.6" sheetId="87" r:id="rId27"/>
    <sheet name="F19.7n" sheetId="121" r:id="rId28"/>
    <sheet name="F19.8" sheetId="111" r:id="rId29"/>
    <sheet name="VC" sheetId="116" r:id="rId30"/>
  </sheets>
  <externalReferences>
    <externalReference r:id="rId31"/>
  </externalReferences>
  <definedNames>
    <definedName name="__123Graph_A" localSheetId="4" hidden="1">#REF!</definedName>
    <definedName name="__123Graph_A" localSheetId="5" hidden="1">#REF!</definedName>
    <definedName name="__123Graph_A" localSheetId="7" hidden="1">#REF!</definedName>
    <definedName name="__123Graph_A" localSheetId="9" hidden="1">#REF!</definedName>
    <definedName name="__123Graph_A" localSheetId="10" hidden="1">#REF!</definedName>
    <definedName name="__123Graph_A" localSheetId="11" hidden="1">#REF!</definedName>
    <definedName name="__123Graph_A" hidden="1">#REF!</definedName>
    <definedName name="__123Graph_ASTNPLF" localSheetId="4" hidden="1">#REF!</definedName>
    <definedName name="__123Graph_ASTNPLF" localSheetId="5" hidden="1">#REF!</definedName>
    <definedName name="__123Graph_ASTNPLF" localSheetId="7" hidden="1">#REF!</definedName>
    <definedName name="__123Graph_ASTNPLF" localSheetId="9" hidden="1">#REF!</definedName>
    <definedName name="__123Graph_ASTNPLF" localSheetId="10" hidden="1">#REF!</definedName>
    <definedName name="__123Graph_ASTNPLF" localSheetId="11" hidden="1">#REF!</definedName>
    <definedName name="__123Graph_ASTNPLF" hidden="1">#REF!</definedName>
    <definedName name="__123Graph_B" localSheetId="4" hidden="1">#REF!</definedName>
    <definedName name="__123Graph_B" localSheetId="5" hidden="1">#REF!</definedName>
    <definedName name="__123Graph_B" localSheetId="7" hidden="1">#REF!</definedName>
    <definedName name="__123Graph_B" localSheetId="9" hidden="1">#REF!</definedName>
    <definedName name="__123Graph_B" localSheetId="10" hidden="1">#REF!</definedName>
    <definedName name="__123Graph_B" localSheetId="11" hidden="1">#REF!</definedName>
    <definedName name="__123Graph_B" hidden="1">#REF!</definedName>
    <definedName name="__123Graph_BSTNPLF" localSheetId="4" hidden="1">#REF!</definedName>
    <definedName name="__123Graph_BSTNPLF" localSheetId="5" hidden="1">#REF!</definedName>
    <definedName name="__123Graph_BSTNPLF" localSheetId="7" hidden="1">#REF!</definedName>
    <definedName name="__123Graph_BSTNPLF" localSheetId="9" hidden="1">#REF!</definedName>
    <definedName name="__123Graph_BSTNPLF" localSheetId="10" hidden="1">#REF!</definedName>
    <definedName name="__123Graph_BSTNPLF" localSheetId="11" hidden="1">#REF!</definedName>
    <definedName name="__123Graph_BSTNPLF" hidden="1">#REF!</definedName>
    <definedName name="__123Graph_C" localSheetId="4" hidden="1">#REF!</definedName>
    <definedName name="__123Graph_C" localSheetId="5" hidden="1">#REF!</definedName>
    <definedName name="__123Graph_C" localSheetId="7" hidden="1">#REF!</definedName>
    <definedName name="__123Graph_C" localSheetId="9" hidden="1">#REF!</definedName>
    <definedName name="__123Graph_C" localSheetId="10" hidden="1">#REF!</definedName>
    <definedName name="__123Graph_C" localSheetId="11" hidden="1">#REF!</definedName>
    <definedName name="__123Graph_C" hidden="1">#REF!</definedName>
    <definedName name="__123Graph_CSTNPLF" localSheetId="4" hidden="1">#REF!</definedName>
    <definedName name="__123Graph_CSTNPLF" localSheetId="5" hidden="1">#REF!</definedName>
    <definedName name="__123Graph_CSTNPLF" localSheetId="7" hidden="1">#REF!</definedName>
    <definedName name="__123Graph_CSTNPLF" localSheetId="9" hidden="1">#REF!</definedName>
    <definedName name="__123Graph_CSTNPLF" localSheetId="10" hidden="1">#REF!</definedName>
    <definedName name="__123Graph_CSTNPLF" localSheetId="11" hidden="1">#REF!</definedName>
    <definedName name="__123Graph_CSTNPLF" hidden="1">#REF!</definedName>
    <definedName name="__123Graph_X" localSheetId="4" hidden="1">#REF!</definedName>
    <definedName name="__123Graph_X" localSheetId="5" hidden="1">#REF!</definedName>
    <definedName name="__123Graph_X" localSheetId="7" hidden="1">#REF!</definedName>
    <definedName name="__123Graph_X" localSheetId="9" hidden="1">#REF!</definedName>
    <definedName name="__123Graph_X" localSheetId="10" hidden="1">#REF!</definedName>
    <definedName name="__123Graph_X" localSheetId="11" hidden="1">#REF!</definedName>
    <definedName name="__123Graph_X" hidden="1">#REF!</definedName>
    <definedName name="__123Graph_XSTNPLF" localSheetId="4" hidden="1">#REF!</definedName>
    <definedName name="__123Graph_XSTNPLF" localSheetId="5" hidden="1">#REF!</definedName>
    <definedName name="__123Graph_XSTNPLF" localSheetId="7" hidden="1">#REF!</definedName>
    <definedName name="__123Graph_XSTNPLF" localSheetId="9" hidden="1">#REF!</definedName>
    <definedName name="__123Graph_XSTNPLF" localSheetId="10" hidden="1">#REF!</definedName>
    <definedName name="__123Graph_XSTNPLF" localSheetId="11" hidden="1">#REF!</definedName>
    <definedName name="__123Graph_XSTNPLF" hidden="1">#REF!</definedName>
    <definedName name="_Fill" localSheetId="4" hidden="1">#REF!</definedName>
    <definedName name="_Fill" localSheetId="5" hidden="1">#REF!</definedName>
    <definedName name="_Fill" localSheetId="7" hidden="1">#REF!</definedName>
    <definedName name="_Fill" localSheetId="9" hidden="1">#REF!</definedName>
    <definedName name="_Fill" localSheetId="10" hidden="1">#REF!</definedName>
    <definedName name="_Fill" localSheetId="11" hidden="1">#REF!</definedName>
    <definedName name="_Fill" hidden="1">#REF!</definedName>
    <definedName name="_xlnm._FilterDatabase" localSheetId="24" hidden="1">F19.4!$C$1:$C$60</definedName>
    <definedName name="_Order1" hidden="1">255</definedName>
    <definedName name="new" localSheetId="4" hidden="1">#REF!</definedName>
    <definedName name="new" localSheetId="5" hidden="1">#REF!</definedName>
    <definedName name="new" localSheetId="7" hidden="1">#REF!</definedName>
    <definedName name="new" localSheetId="9" hidden="1">#REF!</definedName>
    <definedName name="new" localSheetId="10" hidden="1">#REF!</definedName>
    <definedName name="new" localSheetId="11" hidden="1">#REF!</definedName>
    <definedName name="new" hidden="1">#REF!</definedName>
    <definedName name="_xlnm.Print_Area" localSheetId="1">Checklist!$A$1:$E$41</definedName>
    <definedName name="_xlnm.Print_Area" localSheetId="2">'F1'!$B$3:$K$21</definedName>
    <definedName name="_xlnm.Print_Area" localSheetId="13">'F10'!$B$2:$J$43</definedName>
    <definedName name="_xlnm.Print_Area" localSheetId="14">'F11'!$B$2:$S$53</definedName>
    <definedName name="_xlnm.Print_Area" localSheetId="15">F11.1!$B$2:$Y$54</definedName>
    <definedName name="_xlnm.Print_Area" localSheetId="17">'F13'!$B$2:$O$53</definedName>
    <definedName name="_xlnm.Print_Area" localSheetId="20">'F17'!$A$1:$I$40</definedName>
    <definedName name="_xlnm.Print_Area" localSheetId="21">F19.1!$B$2:$I$14</definedName>
    <definedName name="_xlnm.Print_Area" localSheetId="22">F19.2!$A$1:$O$29</definedName>
    <definedName name="_xlnm.Print_Area" localSheetId="25">F19.5!$C$3:$I$27</definedName>
    <definedName name="_xlnm.Print_Area" localSheetId="26">F19.6!$B$2:$G$37</definedName>
    <definedName name="_xlnm.Print_Area" localSheetId="27">F19.7n!$A$1:$F$62</definedName>
    <definedName name="_xlnm.Print_Area" localSheetId="28">F19.8!$B$2:$T$40</definedName>
    <definedName name="_xlnm.Print_Area" localSheetId="3">'F2'!$B$2:$I$30</definedName>
    <definedName name="_xlnm.Print_Area" localSheetId="4">'F3'!$B$2:$H$13</definedName>
    <definedName name="_xlnm.Print_Area" localSheetId="5">F3.1!$B$2:$L$95</definedName>
    <definedName name="_xlnm.Print_Area" localSheetId="7">'F4'!$B$2:$O$64</definedName>
    <definedName name="_xlnm.Print_Area" localSheetId="9">'F6'!$B$2:$H$22</definedName>
    <definedName name="_xlnm.Print_Area" localSheetId="10">'F7'!$B$2:$H$24</definedName>
    <definedName name="_xlnm.Print_Area" localSheetId="11">'F8'!$B$2:$M$23</definedName>
    <definedName name="_xlnm.Print_Area" localSheetId="0">Title!$F$10:$O$14</definedName>
    <definedName name="xxxx" localSheetId="4" hidden="1">#REF!</definedName>
    <definedName name="xxxx" localSheetId="5" hidden="1">#REF!</definedName>
    <definedName name="xxxx" localSheetId="7" hidden="1">#REF!</definedName>
    <definedName name="xxxx" localSheetId="9" hidden="1">#REF!</definedName>
    <definedName name="xxxx" localSheetId="10" hidden="1">#REF!</definedName>
    <definedName name="xxxx" localSheetId="11" hidden="1">#REF!</definedName>
    <definedName name="xxxx" hidden="1">#REF!</definedName>
  </definedNames>
  <calcPr calcId="124519" iterate="1" iterateCount="100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66"/>
  <c r="E14" s="1"/>
  <c r="F29"/>
  <c r="R152" i="125"/>
  <c r="S152" s="1"/>
  <c r="T152" s="1"/>
  <c r="R151"/>
  <c r="S151" s="1"/>
  <c r="G151"/>
  <c r="R150"/>
  <c r="S150" s="1"/>
  <c r="J150"/>
  <c r="J149" s="1"/>
  <c r="G150"/>
  <c r="M149"/>
  <c r="L149"/>
  <c r="K149"/>
  <c r="I149"/>
  <c r="H149"/>
  <c r="G149"/>
  <c r="F149"/>
  <c r="E149"/>
  <c r="R148"/>
  <c r="S148" s="1"/>
  <c r="T148" s="1"/>
  <c r="M147"/>
  <c r="M142" s="1"/>
  <c r="L147"/>
  <c r="K147"/>
  <c r="K142" s="1"/>
  <c r="I147"/>
  <c r="I142" s="1"/>
  <c r="R142" s="1"/>
  <c r="S142" s="1"/>
  <c r="T142" s="1"/>
  <c r="H147"/>
  <c r="H142" s="1"/>
  <c r="F147"/>
  <c r="F142" s="1"/>
  <c r="E147"/>
  <c r="E142" s="1"/>
  <c r="R146"/>
  <c r="S146" s="1"/>
  <c r="J146"/>
  <c r="G146"/>
  <c r="R145"/>
  <c r="S145" s="1"/>
  <c r="G145"/>
  <c r="R144"/>
  <c r="S144" s="1"/>
  <c r="G144"/>
  <c r="R143"/>
  <c r="S143" s="1"/>
  <c r="J143"/>
  <c r="G143"/>
  <c r="G147" s="1"/>
  <c r="G142" s="1"/>
  <c r="L142"/>
  <c r="R141"/>
  <c r="S141" s="1"/>
  <c r="T141" s="1"/>
  <c r="M140"/>
  <c r="M133" s="1"/>
  <c r="L140"/>
  <c r="K140"/>
  <c r="K133" s="1"/>
  <c r="I140"/>
  <c r="H140"/>
  <c r="F140"/>
  <c r="E140"/>
  <c r="E133" s="1"/>
  <c r="R139"/>
  <c r="S139" s="1"/>
  <c r="J139"/>
  <c r="G139"/>
  <c r="R138"/>
  <c r="S138" s="1"/>
  <c r="G138"/>
  <c r="R137"/>
  <c r="S137" s="1"/>
  <c r="G137"/>
  <c r="R136"/>
  <c r="S136" s="1"/>
  <c r="G136"/>
  <c r="R135"/>
  <c r="S135" s="1"/>
  <c r="J135"/>
  <c r="G135"/>
  <c r="R134"/>
  <c r="S134" s="1"/>
  <c r="G134"/>
  <c r="L133"/>
  <c r="I133"/>
  <c r="H133"/>
  <c r="F133"/>
  <c r="R132"/>
  <c r="S132" s="1"/>
  <c r="T132" s="1"/>
  <c r="M131"/>
  <c r="L131"/>
  <c r="K131"/>
  <c r="I131"/>
  <c r="H131"/>
  <c r="F131"/>
  <c r="E131"/>
  <c r="R130"/>
  <c r="S130" s="1"/>
  <c r="J130"/>
  <c r="G130"/>
  <c r="R129"/>
  <c r="S129" s="1"/>
  <c r="J129"/>
  <c r="G129"/>
  <c r="R128"/>
  <c r="S128" s="1"/>
  <c r="J128"/>
  <c r="G128"/>
  <c r="R127"/>
  <c r="S127" s="1"/>
  <c r="J127"/>
  <c r="G127"/>
  <c r="R126"/>
  <c r="S126" s="1"/>
  <c r="J126"/>
  <c r="G126"/>
  <c r="R125"/>
  <c r="S125" s="1"/>
  <c r="G125"/>
  <c r="R124"/>
  <c r="S124" s="1"/>
  <c r="G124"/>
  <c r="R123"/>
  <c r="S123" s="1"/>
  <c r="J123"/>
  <c r="G123"/>
  <c r="R122"/>
  <c r="S122" s="1"/>
  <c r="J122"/>
  <c r="G122"/>
  <c r="R121"/>
  <c r="S121" s="1"/>
  <c r="J121"/>
  <c r="G121"/>
  <c r="R120"/>
  <c r="S120" s="1"/>
  <c r="G120"/>
  <c r="R119"/>
  <c r="S119" s="1"/>
  <c r="J119"/>
  <c r="G119"/>
  <c r="R118"/>
  <c r="S118" s="1"/>
  <c r="G118"/>
  <c r="R117"/>
  <c r="S117" s="1"/>
  <c r="G117"/>
  <c r="R116"/>
  <c r="S116" s="1"/>
  <c r="J116"/>
  <c r="G116"/>
  <c r="R115"/>
  <c r="S115" s="1"/>
  <c r="G115"/>
  <c r="R114"/>
  <c r="S114" s="1"/>
  <c r="J114"/>
  <c r="G114"/>
  <c r="M113"/>
  <c r="L113"/>
  <c r="K113"/>
  <c r="I113"/>
  <c r="H113"/>
  <c r="F113"/>
  <c r="E113"/>
  <c r="R112"/>
  <c r="S112" s="1"/>
  <c r="G112"/>
  <c r="R111"/>
  <c r="S111" s="1"/>
  <c r="J111"/>
  <c r="G111"/>
  <c r="R109"/>
  <c r="S109" s="1"/>
  <c r="G109"/>
  <c r="M108"/>
  <c r="L108"/>
  <c r="K108"/>
  <c r="J108"/>
  <c r="I108"/>
  <c r="H108"/>
  <c r="F108"/>
  <c r="E108"/>
  <c r="R107"/>
  <c r="S107" s="1"/>
  <c r="G107"/>
  <c r="R106"/>
  <c r="S106" s="1"/>
  <c r="G106"/>
  <c r="R105"/>
  <c r="S105" s="1"/>
  <c r="G105"/>
  <c r="M103"/>
  <c r="L103"/>
  <c r="K103"/>
  <c r="J103"/>
  <c r="I103"/>
  <c r="R103" s="1"/>
  <c r="S103" s="1"/>
  <c r="H103"/>
  <c r="F103"/>
  <c r="E103"/>
  <c r="R102"/>
  <c r="S102" s="1"/>
  <c r="G102"/>
  <c r="R101"/>
  <c r="S101" s="1"/>
  <c r="G101"/>
  <c r="R100"/>
  <c r="S100" s="1"/>
  <c r="G100"/>
  <c r="R99"/>
  <c r="S99" s="1"/>
  <c r="T99" s="1"/>
  <c r="R96"/>
  <c r="S96" s="1"/>
  <c r="G96"/>
  <c r="R95"/>
  <c r="S95" s="1"/>
  <c r="J95"/>
  <c r="G95"/>
  <c r="R94"/>
  <c r="S94" s="1"/>
  <c r="J94"/>
  <c r="G94"/>
  <c r="R93"/>
  <c r="S93" s="1"/>
  <c r="G93"/>
  <c r="R92"/>
  <c r="S92" s="1"/>
  <c r="G92"/>
  <c r="R91"/>
  <c r="S91" s="1"/>
  <c r="G91"/>
  <c r="R90"/>
  <c r="S90" s="1"/>
  <c r="G90"/>
  <c r="R89"/>
  <c r="S89" s="1"/>
  <c r="G89"/>
  <c r="R88"/>
  <c r="S88" s="1"/>
  <c r="G88"/>
  <c r="R87"/>
  <c r="S87" s="1"/>
  <c r="G87"/>
  <c r="R86"/>
  <c r="S86" s="1"/>
  <c r="J86"/>
  <c r="G86"/>
  <c r="R85"/>
  <c r="S85" s="1"/>
  <c r="G85"/>
  <c r="R84"/>
  <c r="S84" s="1"/>
  <c r="J84"/>
  <c r="G84"/>
  <c r="R83"/>
  <c r="S83" s="1"/>
  <c r="J83"/>
  <c r="G83"/>
  <c r="R82"/>
  <c r="S82" s="1"/>
  <c r="T82" s="1"/>
  <c r="M81"/>
  <c r="M97" s="1"/>
  <c r="L81"/>
  <c r="L97" s="1"/>
  <c r="K81"/>
  <c r="K97" s="1"/>
  <c r="I81"/>
  <c r="I97" s="1"/>
  <c r="R97" s="1"/>
  <c r="S97" s="1"/>
  <c r="H81"/>
  <c r="H97" s="1"/>
  <c r="F81"/>
  <c r="F97" s="1"/>
  <c r="E81"/>
  <c r="E97" s="1"/>
  <c r="R80"/>
  <c r="S80" s="1"/>
  <c r="T80" s="1"/>
  <c r="R78"/>
  <c r="S78" s="1"/>
  <c r="T78" s="1"/>
  <c r="R77"/>
  <c r="S77" s="1"/>
  <c r="J77"/>
  <c r="G77"/>
  <c r="R76"/>
  <c r="S76" s="1"/>
  <c r="J76"/>
  <c r="G76"/>
  <c r="R75"/>
  <c r="S75" s="1"/>
  <c r="G75"/>
  <c r="R74"/>
  <c r="S74" s="1"/>
  <c r="J74"/>
  <c r="G74"/>
  <c r="R73"/>
  <c r="S73" s="1"/>
  <c r="G73"/>
  <c r="R72"/>
  <c r="S72" s="1"/>
  <c r="G72"/>
  <c r="R71"/>
  <c r="S71" s="1"/>
  <c r="G71"/>
  <c r="R70"/>
  <c r="S70" s="1"/>
  <c r="G70"/>
  <c r="R69"/>
  <c r="S69" s="1"/>
  <c r="J69"/>
  <c r="G69"/>
  <c r="R68"/>
  <c r="S68" s="1"/>
  <c r="J68"/>
  <c r="G68"/>
  <c r="R67"/>
  <c r="S67" s="1"/>
  <c r="G67"/>
  <c r="R66"/>
  <c r="S66" s="1"/>
  <c r="G66"/>
  <c r="R65"/>
  <c r="S65" s="1"/>
  <c r="J65"/>
  <c r="G65"/>
  <c r="R64"/>
  <c r="S64" s="1"/>
  <c r="G64"/>
  <c r="R63"/>
  <c r="S63" s="1"/>
  <c r="G63"/>
  <c r="R62"/>
  <c r="S62" s="1"/>
  <c r="J62"/>
  <c r="G62"/>
  <c r="R61"/>
  <c r="S61" s="1"/>
  <c r="G61"/>
  <c r="R60"/>
  <c r="S60" s="1"/>
  <c r="G60"/>
  <c r="R59"/>
  <c r="S59" s="1"/>
  <c r="G59"/>
  <c r="R58"/>
  <c r="S58" s="1"/>
  <c r="G58"/>
  <c r="R57"/>
  <c r="S57" s="1"/>
  <c r="G57"/>
  <c r="R56"/>
  <c r="S56" s="1"/>
  <c r="G56"/>
  <c r="R55"/>
  <c r="S55" s="1"/>
  <c r="G55"/>
  <c r="R54"/>
  <c r="S54" s="1"/>
  <c r="G54"/>
  <c r="R53"/>
  <c r="S53" s="1"/>
  <c r="J53"/>
  <c r="G53"/>
  <c r="R52"/>
  <c r="S52" s="1"/>
  <c r="G52"/>
  <c r="R51"/>
  <c r="S51" s="1"/>
  <c r="G51"/>
  <c r="R50"/>
  <c r="S50" s="1"/>
  <c r="G50"/>
  <c r="R49"/>
  <c r="S49" s="1"/>
  <c r="J49"/>
  <c r="G49"/>
  <c r="R48"/>
  <c r="S48" s="1"/>
  <c r="J48"/>
  <c r="G48"/>
  <c r="R47"/>
  <c r="S47" s="1"/>
  <c r="J47"/>
  <c r="G47"/>
  <c r="R46"/>
  <c r="S46" s="1"/>
  <c r="J46"/>
  <c r="G46"/>
  <c r="M45"/>
  <c r="M79" s="1"/>
  <c r="L45"/>
  <c r="L79" s="1"/>
  <c r="L98" s="1"/>
  <c r="K45"/>
  <c r="K79" s="1"/>
  <c r="K98" s="1"/>
  <c r="I45"/>
  <c r="I79" s="1"/>
  <c r="H45"/>
  <c r="H79" s="1"/>
  <c r="F45"/>
  <c r="F79" s="1"/>
  <c r="F98" s="1"/>
  <c r="E45"/>
  <c r="E79" s="1"/>
  <c r="R44"/>
  <c r="S44" s="1"/>
  <c r="T44" s="1"/>
  <c r="R43"/>
  <c r="S43" s="1"/>
  <c r="G43"/>
  <c r="R42"/>
  <c r="S42" s="1"/>
  <c r="J42"/>
  <c r="G42"/>
  <c r="R41"/>
  <c r="S41" s="1"/>
  <c r="G41"/>
  <c r="R40"/>
  <c r="S40" s="1"/>
  <c r="J40"/>
  <c r="G40"/>
  <c r="R39"/>
  <c r="S39" s="1"/>
  <c r="J39"/>
  <c r="G39"/>
  <c r="R38"/>
  <c r="S38" s="1"/>
  <c r="J38"/>
  <c r="G38"/>
  <c r="R37"/>
  <c r="S37" s="1"/>
  <c r="J37"/>
  <c r="G37"/>
  <c r="R36"/>
  <c r="S36" s="1"/>
  <c r="J36"/>
  <c r="G36"/>
  <c r="R35"/>
  <c r="S35" s="1"/>
  <c r="J35"/>
  <c r="G35"/>
  <c r="R34"/>
  <c r="S34" s="1"/>
  <c r="J34"/>
  <c r="G34"/>
  <c r="R33"/>
  <c r="S33" s="1"/>
  <c r="G33"/>
  <c r="R32"/>
  <c r="S32" s="1"/>
  <c r="G32"/>
  <c r="R31"/>
  <c r="S31" s="1"/>
  <c r="J31"/>
  <c r="G31"/>
  <c r="R30"/>
  <c r="S30" s="1"/>
  <c r="J30"/>
  <c r="G30"/>
  <c r="R29"/>
  <c r="S29" s="1"/>
  <c r="G29"/>
  <c r="R28"/>
  <c r="S28" s="1"/>
  <c r="J28"/>
  <c r="G28"/>
  <c r="R27"/>
  <c r="S27" s="1"/>
  <c r="J27"/>
  <c r="G27"/>
  <c r="M26"/>
  <c r="L26"/>
  <c r="K26"/>
  <c r="I26"/>
  <c r="H26"/>
  <c r="F26"/>
  <c r="E26"/>
  <c r="R25"/>
  <c r="S25" s="1"/>
  <c r="T25" s="1"/>
  <c r="R24"/>
  <c r="S24" s="1"/>
  <c r="T24" s="1"/>
  <c r="R23"/>
  <c r="S23" s="1"/>
  <c r="T23" s="1"/>
  <c r="R22"/>
  <c r="S22" s="1"/>
  <c r="T22" s="1"/>
  <c r="R21"/>
  <c r="S21" s="1"/>
  <c r="T21" s="1"/>
  <c r="R20"/>
  <c r="S20" s="1"/>
  <c r="T20" s="1"/>
  <c r="R19"/>
  <c r="S19" s="1"/>
  <c r="J19"/>
  <c r="G19"/>
  <c r="R18"/>
  <c r="S18" s="1"/>
  <c r="J18"/>
  <c r="G18"/>
  <c r="R17"/>
  <c r="S17" s="1"/>
  <c r="J17"/>
  <c r="G17"/>
  <c r="G16" s="1"/>
  <c r="M16"/>
  <c r="L16"/>
  <c r="L15" s="1"/>
  <c r="K16"/>
  <c r="K15" s="1"/>
  <c r="I16"/>
  <c r="R16" s="1"/>
  <c r="S16" s="1"/>
  <c r="H16"/>
  <c r="F16"/>
  <c r="F15" s="1"/>
  <c r="E16"/>
  <c r="E15" s="1"/>
  <c r="R14"/>
  <c r="S14" s="1"/>
  <c r="T14" s="1"/>
  <c r="L13"/>
  <c r="L9" s="1"/>
  <c r="K13"/>
  <c r="I13"/>
  <c r="H13"/>
  <c r="J13" s="1"/>
  <c r="J9" s="1"/>
  <c r="F13"/>
  <c r="F9" s="1"/>
  <c r="E13"/>
  <c r="R12"/>
  <c r="S12" s="1"/>
  <c r="M12"/>
  <c r="J12"/>
  <c r="G12"/>
  <c r="R11"/>
  <c r="S11" s="1"/>
  <c r="M11"/>
  <c r="J11"/>
  <c r="G11"/>
  <c r="R10"/>
  <c r="S10" s="1"/>
  <c r="M10"/>
  <c r="J10"/>
  <c r="G10"/>
  <c r="K9"/>
  <c r="I9"/>
  <c r="E9"/>
  <c r="J45" l="1"/>
  <c r="J79" s="1"/>
  <c r="R13"/>
  <c r="S13" s="1"/>
  <c r="H9"/>
  <c r="G13"/>
  <c r="G9" s="1"/>
  <c r="M13"/>
  <c r="M9" s="1"/>
  <c r="M15"/>
  <c r="J26"/>
  <c r="M98"/>
  <c r="R108"/>
  <c r="S108" s="1"/>
  <c r="R149"/>
  <c r="S149" s="1"/>
  <c r="J16"/>
  <c r="R26"/>
  <c r="S26" s="1"/>
  <c r="G81"/>
  <c r="G97" s="1"/>
  <c r="G103"/>
  <c r="R113"/>
  <c r="S113" s="1"/>
  <c r="R131"/>
  <c r="S131" s="1"/>
  <c r="R147"/>
  <c r="S147" s="1"/>
  <c r="T11"/>
  <c r="T12"/>
  <c r="T18"/>
  <c r="T19"/>
  <c r="T27"/>
  <c r="G26"/>
  <c r="T26" s="1"/>
  <c r="T28"/>
  <c r="T31"/>
  <c r="T32"/>
  <c r="T33"/>
  <c r="T34"/>
  <c r="T35"/>
  <c r="T38"/>
  <c r="T39"/>
  <c r="T40"/>
  <c r="T42"/>
  <c r="T43"/>
  <c r="G45"/>
  <c r="G79" s="1"/>
  <c r="G98" s="1"/>
  <c r="T49"/>
  <c r="T50"/>
  <c r="T53"/>
  <c r="T54"/>
  <c r="T55"/>
  <c r="T56"/>
  <c r="T57"/>
  <c r="T58"/>
  <c r="T59"/>
  <c r="T60"/>
  <c r="T61"/>
  <c r="T66"/>
  <c r="T67"/>
  <c r="T70"/>
  <c r="T71"/>
  <c r="T72"/>
  <c r="T73"/>
  <c r="T74"/>
  <c r="T76"/>
  <c r="T83"/>
  <c r="T85"/>
  <c r="T86"/>
  <c r="T87"/>
  <c r="T89"/>
  <c r="T90"/>
  <c r="T91"/>
  <c r="T93"/>
  <c r="T94"/>
  <c r="T100"/>
  <c r="T101"/>
  <c r="T102"/>
  <c r="T105"/>
  <c r="T106"/>
  <c r="T107"/>
  <c r="T109"/>
  <c r="T114"/>
  <c r="T115"/>
  <c r="T117"/>
  <c r="T118"/>
  <c r="T119"/>
  <c r="T122"/>
  <c r="T123"/>
  <c r="T126"/>
  <c r="T128"/>
  <c r="T130"/>
  <c r="T134"/>
  <c r="T136"/>
  <c r="T137"/>
  <c r="T138"/>
  <c r="T144"/>
  <c r="T145"/>
  <c r="T146"/>
  <c r="T150"/>
  <c r="T151"/>
  <c r="T10"/>
  <c r="H98"/>
  <c r="T46"/>
  <c r="T48"/>
  <c r="T51"/>
  <c r="T62"/>
  <c r="T64"/>
  <c r="T68"/>
  <c r="T75"/>
  <c r="J81"/>
  <c r="J97" s="1"/>
  <c r="J98" s="1"/>
  <c r="T95"/>
  <c r="G108"/>
  <c r="T108" s="1"/>
  <c r="T111"/>
  <c r="T120"/>
  <c r="T124"/>
  <c r="T127"/>
  <c r="R133"/>
  <c r="S133" s="1"/>
  <c r="T133" s="1"/>
  <c r="T139"/>
  <c r="R140"/>
  <c r="S140" s="1"/>
  <c r="E153"/>
  <c r="F153"/>
  <c r="L153"/>
  <c r="H15"/>
  <c r="T17"/>
  <c r="T30"/>
  <c r="T37"/>
  <c r="T41"/>
  <c r="T52"/>
  <c r="T63"/>
  <c r="T97"/>
  <c r="T84"/>
  <c r="T96"/>
  <c r="G15"/>
  <c r="T112"/>
  <c r="G131"/>
  <c r="G113" s="1"/>
  <c r="T125"/>
  <c r="G140"/>
  <c r="G133" s="1"/>
  <c r="J140"/>
  <c r="J133" s="1"/>
  <c r="J147"/>
  <c r="J142" s="1"/>
  <c r="T147"/>
  <c r="K153"/>
  <c r="M153"/>
  <c r="I15"/>
  <c r="R15" s="1"/>
  <c r="S15" s="1"/>
  <c r="T16"/>
  <c r="T29"/>
  <c r="T36"/>
  <c r="T47"/>
  <c r="T65"/>
  <c r="T69"/>
  <c r="T77"/>
  <c r="T88"/>
  <c r="T92"/>
  <c r="J131"/>
  <c r="J113" s="1"/>
  <c r="T116"/>
  <c r="T121"/>
  <c r="T129"/>
  <c r="T135"/>
  <c r="T143"/>
  <c r="T149"/>
  <c r="T131"/>
  <c r="I98"/>
  <c r="R98" s="1"/>
  <c r="S98" s="1"/>
  <c r="T98" s="1"/>
  <c r="R79"/>
  <c r="S79" s="1"/>
  <c r="E98"/>
  <c r="T103"/>
  <c r="J15"/>
  <c r="T13"/>
  <c r="R45"/>
  <c r="S45" s="1"/>
  <c r="T45" s="1"/>
  <c r="R9"/>
  <c r="S9" s="1"/>
  <c r="T9" s="1"/>
  <c r="R81"/>
  <c r="S81" s="1"/>
  <c r="T81" s="1"/>
  <c r="T79" l="1"/>
  <c r="J153"/>
  <c r="T140"/>
  <c r="T113"/>
  <c r="H153"/>
  <c r="G153"/>
  <c r="T15"/>
  <c r="I153"/>
  <c r="R153" s="1"/>
  <c r="S153" s="1"/>
  <c r="Y22" i="118"/>
  <c r="Y33" s="1"/>
  <c r="X22"/>
  <c r="X33" s="1"/>
  <c r="W22"/>
  <c r="W33" s="1"/>
  <c r="V22"/>
  <c r="V33" s="1"/>
  <c r="U22"/>
  <c r="U33" s="1"/>
  <c r="T22"/>
  <c r="T33" s="1"/>
  <c r="S22"/>
  <c r="S33" s="1"/>
  <c r="R22"/>
  <c r="R33" s="1"/>
  <c r="Q22"/>
  <c r="Q33" s="1"/>
  <c r="P22"/>
  <c r="P33" s="1"/>
  <c r="O22"/>
  <c r="O33" s="1"/>
  <c r="N22"/>
  <c r="N33" s="1"/>
  <c r="AE17"/>
  <c r="Y17"/>
  <c r="X17"/>
  <c r="W17"/>
  <c r="V17"/>
  <c r="U17"/>
  <c r="T17"/>
  <c r="S17"/>
  <c r="R17"/>
  <c r="Q17"/>
  <c r="P17"/>
  <c r="O17"/>
  <c r="N17"/>
  <c r="T153" i="125" l="1"/>
  <c r="O35" i="118"/>
  <c r="S35"/>
  <c r="W35"/>
  <c r="P35"/>
  <c r="T35"/>
  <c r="X35"/>
  <c r="N35"/>
  <c r="R35"/>
  <c r="V35"/>
  <c r="Q35"/>
  <c r="U35"/>
  <c r="Y35"/>
  <c r="B51" i="119"/>
  <c r="B52" s="1"/>
  <c r="B53" s="1"/>
  <c r="S31"/>
  <c r="R31"/>
  <c r="Q31"/>
  <c r="Q32" s="1"/>
  <c r="P31"/>
  <c r="O31"/>
  <c r="N31"/>
  <c r="M31"/>
  <c r="L31"/>
  <c r="K31"/>
  <c r="J31"/>
  <c r="I31"/>
  <c r="H31"/>
  <c r="G31"/>
  <c r="F31"/>
  <c r="E31"/>
  <c r="S21"/>
  <c r="R21"/>
  <c r="R32" s="1"/>
  <c r="P21"/>
  <c r="O21"/>
  <c r="N21"/>
  <c r="M21"/>
  <c r="L21"/>
  <c r="K21"/>
  <c r="J21"/>
  <c r="I21"/>
  <c r="H21"/>
  <c r="G21"/>
  <c r="F21"/>
  <c r="E21"/>
  <c r="S14"/>
  <c r="S16" s="1"/>
  <c r="R14"/>
  <c r="R16" s="1"/>
  <c r="Q14"/>
  <c r="Q16" s="1"/>
  <c r="P14"/>
  <c r="P16" s="1"/>
  <c r="O14"/>
  <c r="O16" s="1"/>
  <c r="N14"/>
  <c r="N16" s="1"/>
  <c r="M14"/>
  <c r="M16" s="1"/>
  <c r="L14"/>
  <c r="L16" s="1"/>
  <c r="K14"/>
  <c r="K16" s="1"/>
  <c r="J14"/>
  <c r="J16" s="1"/>
  <c r="I14"/>
  <c r="I16" s="1"/>
  <c r="H14"/>
  <c r="H16" s="1"/>
  <c r="G14"/>
  <c r="G16" s="1"/>
  <c r="F14"/>
  <c r="F16" s="1"/>
  <c r="E14"/>
  <c r="E16" s="1"/>
  <c r="B10"/>
  <c r="B12" s="1"/>
  <c r="B13" s="1"/>
  <c r="B14" s="1"/>
  <c r="B15" s="1"/>
  <c r="B16" s="1"/>
  <c r="B18" s="1"/>
  <c r="B19" s="1"/>
  <c r="B20" s="1"/>
  <c r="B21" s="1"/>
  <c r="B23" s="1"/>
  <c r="B28" s="1"/>
  <c r="B29" s="1"/>
  <c r="B30" s="1"/>
  <c r="B31" s="1"/>
  <c r="B32" s="1"/>
  <c r="B34" s="1"/>
  <c r="B35" s="1"/>
  <c r="B36" s="1"/>
  <c r="B38" s="1"/>
  <c r="B39" s="1"/>
  <c r="B40" s="1"/>
  <c r="B41" s="1"/>
  <c r="B42" s="1"/>
  <c r="B43" s="1"/>
  <c r="B44" s="1"/>
  <c r="B45" s="1"/>
  <c r="B46" s="1"/>
  <c r="B47" s="1"/>
  <c r="H32" l="1"/>
  <c r="H34" s="1"/>
  <c r="L32"/>
  <c r="P32"/>
  <c r="P34" s="1"/>
  <c r="R34"/>
  <c r="K32"/>
  <c r="K34" s="1"/>
  <c r="O32"/>
  <c r="O34" s="1"/>
  <c r="E32"/>
  <c r="E34" s="1"/>
  <c r="M32"/>
  <c r="F32"/>
  <c r="F34" s="1"/>
  <c r="J32"/>
  <c r="J34" s="1"/>
  <c r="N32"/>
  <c r="N34" s="1"/>
  <c r="S32"/>
  <c r="S34" s="1"/>
  <c r="G32"/>
  <c r="G34" s="1"/>
  <c r="I32"/>
  <c r="I34" s="1"/>
  <c r="L34"/>
  <c r="M34"/>
  <c r="Q34"/>
  <c r="K60" i="102"/>
  <c r="K59"/>
  <c r="K48"/>
  <c r="K47"/>
  <c r="K36"/>
  <c r="K35"/>
  <c r="H90" i="126" l="1"/>
  <c r="G90"/>
  <c r="F90"/>
  <c r="E90"/>
  <c r="D90"/>
  <c r="H89"/>
  <c r="G89"/>
  <c r="F89"/>
  <c r="E89"/>
  <c r="E91" s="1"/>
  <c r="D89"/>
  <c r="H85"/>
  <c r="G85"/>
  <c r="F85"/>
  <c r="E85"/>
  <c r="D85"/>
  <c r="H84"/>
  <c r="G84"/>
  <c r="F84"/>
  <c r="E84"/>
  <c r="D84"/>
  <c r="D83"/>
  <c r="H80"/>
  <c r="H76" s="1"/>
  <c r="G80"/>
  <c r="F80"/>
  <c r="F76" s="1"/>
  <c r="E80"/>
  <c r="E76" s="1"/>
  <c r="D80"/>
  <c r="G76"/>
  <c r="D75"/>
  <c r="E72" s="1"/>
  <c r="E75" s="1"/>
  <c r="F72" s="1"/>
  <c r="F75" s="1"/>
  <c r="G72" s="1"/>
  <c r="G75" s="1"/>
  <c r="H72" s="1"/>
  <c r="H75" s="1"/>
  <c r="H70"/>
  <c r="G70"/>
  <c r="F70"/>
  <c r="E70"/>
  <c r="D70"/>
  <c r="H66"/>
  <c r="G66"/>
  <c r="F66"/>
  <c r="E66"/>
  <c r="E65"/>
  <c r="F62" s="1"/>
  <c r="F65" s="1"/>
  <c r="G62" s="1"/>
  <c r="G65" s="1"/>
  <c r="H62" s="1"/>
  <c r="H65" s="1"/>
  <c r="D65"/>
  <c r="H59"/>
  <c r="G59"/>
  <c r="F59"/>
  <c r="E59"/>
  <c r="D59"/>
  <c r="D55" s="1"/>
  <c r="H55"/>
  <c r="G55"/>
  <c r="F55"/>
  <c r="E55"/>
  <c r="D54"/>
  <c r="E51" s="1"/>
  <c r="E54" s="1"/>
  <c r="F51" s="1"/>
  <c r="F54" s="1"/>
  <c r="G51" s="1"/>
  <c r="G54" s="1"/>
  <c r="H51" s="1"/>
  <c r="H54" s="1"/>
  <c r="H48"/>
  <c r="G48"/>
  <c r="F48"/>
  <c r="E48"/>
  <c r="D48"/>
  <c r="H44"/>
  <c r="G44"/>
  <c r="F44"/>
  <c r="E44"/>
  <c r="D44"/>
  <c r="D43"/>
  <c r="E40" s="1"/>
  <c r="E43" s="1"/>
  <c r="F40" s="1"/>
  <c r="F43" s="1"/>
  <c r="G40" s="1"/>
  <c r="G43" s="1"/>
  <c r="H40" s="1"/>
  <c r="H43" s="1"/>
  <c r="H38"/>
  <c r="G38"/>
  <c r="F38"/>
  <c r="E38"/>
  <c r="D38"/>
  <c r="D34" s="1"/>
  <c r="H34"/>
  <c r="G34"/>
  <c r="F34"/>
  <c r="E34"/>
  <c r="D33"/>
  <c r="E30" s="1"/>
  <c r="D18"/>
  <c r="B10"/>
  <c r="B11" s="1"/>
  <c r="B12" s="1"/>
  <c r="B13" s="1"/>
  <c r="B14" s="1"/>
  <c r="B15" s="1"/>
  <c r="B16" s="1"/>
  <c r="B17" s="1"/>
  <c r="B18" s="1"/>
  <c r="B19" s="1"/>
  <c r="B20" s="1"/>
  <c r="B21" s="1"/>
  <c r="G87" l="1"/>
  <c r="F91"/>
  <c r="G91"/>
  <c r="H87"/>
  <c r="D86"/>
  <c r="D91"/>
  <c r="D87" s="1"/>
  <c r="H91"/>
  <c r="F87"/>
  <c r="E83"/>
  <c r="E86" s="1"/>
  <c r="E33"/>
  <c r="F30" s="1"/>
  <c r="E87"/>
  <c r="F83" l="1"/>
  <c r="F86" s="1"/>
  <c r="F33"/>
  <c r="G30" s="1"/>
  <c r="G83" l="1"/>
  <c r="G86" s="1"/>
  <c r="G33"/>
  <c r="H30" s="1"/>
  <c r="H83" l="1"/>
  <c r="H86" s="1"/>
  <c r="H33"/>
  <c r="G24" i="102" l="1"/>
  <c r="K23"/>
  <c r="K24"/>
  <c r="G92" i="101"/>
  <c r="F92"/>
  <c r="G85"/>
  <c r="F85"/>
  <c r="G63"/>
  <c r="F63"/>
  <c r="G49"/>
  <c r="F49"/>
  <c r="G41"/>
  <c r="F41"/>
  <c r="H53"/>
  <c r="G18"/>
  <c r="F18"/>
  <c r="F42" l="1"/>
  <c r="F50"/>
  <c r="F53" s="1"/>
  <c r="H85"/>
  <c r="F93"/>
  <c r="F94" s="1"/>
  <c r="G93"/>
  <c r="G94" s="1"/>
  <c r="G50"/>
  <c r="G53" s="1"/>
  <c r="D10" i="93" s="1"/>
  <c r="H63" i="101" l="1"/>
  <c r="H93" s="1"/>
  <c r="H94" s="1"/>
  <c r="D13" i="83" l="1"/>
  <c r="E13"/>
  <c r="F13"/>
  <c r="G13"/>
  <c r="H13"/>
  <c r="I13"/>
  <c r="J13"/>
  <c r="K13"/>
  <c r="L13"/>
  <c r="M13"/>
  <c r="N13"/>
  <c r="O13"/>
  <c r="D24"/>
  <c r="D25" s="1"/>
  <c r="D29" s="1"/>
  <c r="E24"/>
  <c r="E25" s="1"/>
  <c r="E29" s="1"/>
  <c r="F24"/>
  <c r="F25" s="1"/>
  <c r="F29" s="1"/>
  <c r="G24"/>
  <c r="G25" s="1"/>
  <c r="G29" s="1"/>
  <c r="H24"/>
  <c r="H25" s="1"/>
  <c r="H29" s="1"/>
  <c r="I24"/>
  <c r="I25" s="1"/>
  <c r="I29" s="1"/>
  <c r="J24"/>
  <c r="J25" s="1"/>
  <c r="J29" s="1"/>
  <c r="K24"/>
  <c r="K25" s="1"/>
  <c r="K29" s="1"/>
  <c r="L24"/>
  <c r="L25" s="1"/>
  <c r="L29" s="1"/>
  <c r="M24"/>
  <c r="M25" s="1"/>
  <c r="M29" s="1"/>
  <c r="N24"/>
  <c r="N25" s="1"/>
  <c r="N29" s="1"/>
  <c r="O24"/>
  <c r="O25" s="1"/>
  <c r="O29" s="1"/>
  <c r="E11" i="93" l="1"/>
  <c r="C28" i="83" l="1"/>
  <c r="C17"/>
  <c r="C15"/>
  <c r="C12"/>
  <c r="C8"/>
  <c r="Q15" i="124"/>
  <c r="Q14"/>
  <c r="Q22"/>
  <c r="Q23"/>
  <c r="Q24"/>
  <c r="Q21"/>
  <c r="O25"/>
  <c r="O28" s="1"/>
  <c r="P25"/>
  <c r="P28" s="1"/>
  <c r="N25"/>
  <c r="M28"/>
  <c r="L28"/>
  <c r="K28"/>
  <c r="J28"/>
  <c r="I28"/>
  <c r="H28"/>
  <c r="G28"/>
  <c r="F28"/>
  <c r="E28"/>
  <c r="P16"/>
  <c r="O16"/>
  <c r="N16"/>
  <c r="M16"/>
  <c r="L16"/>
  <c r="K16"/>
  <c r="J16"/>
  <c r="I16"/>
  <c r="H16"/>
  <c r="G16"/>
  <c r="F16"/>
  <c r="E16"/>
  <c r="B9"/>
  <c r="B10" s="1"/>
  <c r="B11" s="1"/>
  <c r="B12" s="1"/>
  <c r="B13" s="1"/>
  <c r="B14" s="1"/>
  <c r="B15" s="1"/>
  <c r="B16" s="1"/>
  <c r="B17" s="1"/>
  <c r="B18" s="1"/>
  <c r="B19" s="1"/>
  <c r="B20" s="1"/>
  <c r="B21" s="1"/>
  <c r="B22" s="1"/>
  <c r="B23" s="1"/>
  <c r="B24" s="1"/>
  <c r="B25" s="1"/>
  <c r="B26" s="1"/>
  <c r="B28" s="1"/>
  <c r="B29" s="1"/>
  <c r="I4"/>
  <c r="I3"/>
  <c r="N18" i="123"/>
  <c r="M18"/>
  <c r="L18"/>
  <c r="K18"/>
  <c r="J18"/>
  <c r="G18"/>
  <c r="F18"/>
  <c r="E18"/>
  <c r="D18"/>
  <c r="C18"/>
  <c r="H3"/>
  <c r="H2"/>
  <c r="Q16" i="124" l="1"/>
  <c r="C24" i="83"/>
  <c r="Q25" i="124"/>
  <c r="C13" i="83"/>
  <c r="N28" i="124"/>
  <c r="F10" i="105"/>
  <c r="G10"/>
  <c r="C25" i="83" l="1"/>
  <c r="C29" s="1"/>
  <c r="D12" i="93"/>
  <c r="D8" i="109" s="1"/>
  <c r="D11" s="1"/>
  <c r="N10" i="85" l="1"/>
  <c r="N9"/>
  <c r="N7"/>
  <c r="K64" i="102" l="1"/>
  <c r="H14" i="126" s="1"/>
  <c r="K52" i="102"/>
  <c r="G14" i="126" s="1"/>
  <c r="K40" i="102"/>
  <c r="F14" i="126" s="1"/>
  <c r="K28" i="102"/>
  <c r="E14" i="126" s="1"/>
  <c r="K16" i="102"/>
  <c r="F16"/>
  <c r="I29" i="66"/>
  <c r="H29"/>
  <c r="G29"/>
  <c r="D14" i="126" l="1"/>
  <c r="E10" s="1"/>
  <c r="F10"/>
  <c r="D9"/>
  <c r="D11" s="1"/>
  <c r="D9" i="105"/>
  <c r="G10" i="126"/>
  <c r="H10" l="1"/>
  <c r="D12" i="104"/>
  <c r="G12"/>
  <c r="H12"/>
  <c r="F12"/>
  <c r="E12"/>
  <c r="F23" i="117" l="1"/>
  <c r="E23" l="1"/>
  <c r="G22" i="116" l="1"/>
  <c r="H22" l="1"/>
  <c r="I22" s="1"/>
  <c r="J22" s="1"/>
  <c r="A61" i="121" l="1"/>
  <c r="A62" s="1"/>
  <c r="E56"/>
  <c r="D56"/>
  <c r="C56"/>
  <c r="F55"/>
  <c r="F54"/>
  <c r="F53"/>
  <c r="F52"/>
  <c r="E51"/>
  <c r="D51"/>
  <c r="C51"/>
  <c r="F50"/>
  <c r="F49"/>
  <c r="F48"/>
  <c r="F47"/>
  <c r="E46"/>
  <c r="D46"/>
  <c r="C46"/>
  <c r="F45"/>
  <c r="F44"/>
  <c r="F43"/>
  <c r="F42"/>
  <c r="E41"/>
  <c r="D41"/>
  <c r="C41"/>
  <c r="F40"/>
  <c r="F39"/>
  <c r="F38"/>
  <c r="F37"/>
  <c r="E36"/>
  <c r="D36"/>
  <c r="C36"/>
  <c r="F35"/>
  <c r="F34"/>
  <c r="F33"/>
  <c r="F32"/>
  <c r="E31"/>
  <c r="D31"/>
  <c r="C31"/>
  <c r="F30"/>
  <c r="F29"/>
  <c r="F28"/>
  <c r="F27"/>
  <c r="E26"/>
  <c r="D26"/>
  <c r="C26"/>
  <c r="F25"/>
  <c r="F24"/>
  <c r="F23"/>
  <c r="F22"/>
  <c r="E21"/>
  <c r="D21"/>
  <c r="C21"/>
  <c r="F20"/>
  <c r="F19"/>
  <c r="F18"/>
  <c r="F17"/>
  <c r="E16"/>
  <c r="D16"/>
  <c r="C16"/>
  <c r="F15"/>
  <c r="F14"/>
  <c r="F13"/>
  <c r="F12"/>
  <c r="E11"/>
  <c r="D11"/>
  <c r="C11"/>
  <c r="F10"/>
  <c r="F9"/>
  <c r="F8"/>
  <c r="F7"/>
  <c r="J23" i="86"/>
  <c r="E57" i="121" l="1"/>
  <c r="F16"/>
  <c r="F26"/>
  <c r="F36"/>
  <c r="F46"/>
  <c r="F56"/>
  <c r="C57"/>
  <c r="F11"/>
  <c r="F31"/>
  <c r="F51"/>
  <c r="F21"/>
  <c r="F41"/>
  <c r="D57"/>
  <c r="F57" l="1"/>
  <c r="K13" i="117" l="1"/>
  <c r="J13"/>
  <c r="I13"/>
  <c r="H13"/>
  <c r="G13"/>
  <c r="F13"/>
  <c r="E13"/>
  <c r="D13"/>
  <c r="C13"/>
  <c r="D23" l="1"/>
  <c r="O41"/>
  <c r="M13"/>
  <c r="L13"/>
  <c r="O51"/>
  <c r="O10"/>
  <c r="O39"/>
  <c r="C23"/>
  <c r="O8"/>
  <c r="O29"/>
  <c r="O31"/>
  <c r="O49"/>
  <c r="N13"/>
  <c r="O53" l="1"/>
  <c r="I30" i="81" s="1"/>
  <c r="I23" s="1"/>
  <c r="O43" i="117"/>
  <c r="H30" i="81" s="1"/>
  <c r="O13" i="117"/>
  <c r="O33"/>
  <c r="G30" i="81" s="1"/>
  <c r="G23" s="1"/>
  <c r="J22" i="102"/>
  <c r="J23"/>
  <c r="J24"/>
  <c r="J25"/>
  <c r="J26"/>
  <c r="J27"/>
  <c r="J21"/>
  <c r="J28" l="1"/>
  <c r="J19" i="58"/>
  <c r="E30" i="81"/>
  <c r="I19" i="58"/>
  <c r="H23" i="81"/>
  <c r="H19" i="58"/>
  <c r="E23" i="81" l="1"/>
  <c r="F19" i="58"/>
  <c r="F11" i="110"/>
  <c r="G11"/>
  <c r="H11"/>
  <c r="I11"/>
  <c r="E11"/>
  <c r="F10"/>
  <c r="G10"/>
  <c r="H10"/>
  <c r="I10"/>
  <c r="G9"/>
  <c r="H9"/>
  <c r="I9"/>
  <c r="E9"/>
  <c r="E19" l="1"/>
  <c r="D16" i="104" s="1"/>
  <c r="E18" i="110"/>
  <c r="E16"/>
  <c r="E17"/>
  <c r="G29" i="81"/>
  <c r="H29"/>
  <c r="I29"/>
  <c r="D11" i="104" l="1"/>
  <c r="D10"/>
  <c r="D9"/>
  <c r="L64" i="102" l="1"/>
  <c r="H64"/>
  <c r="G64"/>
  <c r="H13" i="126" s="1"/>
  <c r="B60" i="102"/>
  <c r="B61" s="1"/>
  <c r="B62" s="1"/>
  <c r="B63" s="1"/>
  <c r="L52"/>
  <c r="H52"/>
  <c r="G52"/>
  <c r="B48"/>
  <c r="B49" s="1"/>
  <c r="B50" s="1"/>
  <c r="B51" s="1"/>
  <c r="L40"/>
  <c r="H40"/>
  <c r="G40"/>
  <c r="B36"/>
  <c r="B37" s="1"/>
  <c r="B38" s="1"/>
  <c r="B39" s="1"/>
  <c r="L28"/>
  <c r="H28"/>
  <c r="M27"/>
  <c r="J39" s="1"/>
  <c r="M39" s="1"/>
  <c r="J51" s="1"/>
  <c r="M51" s="1"/>
  <c r="J63" s="1"/>
  <c r="M63" s="1"/>
  <c r="M26"/>
  <c r="J38" s="1"/>
  <c r="M38" s="1"/>
  <c r="J50" s="1"/>
  <c r="M50" s="1"/>
  <c r="J62" s="1"/>
  <c r="M62" s="1"/>
  <c r="M25"/>
  <c r="J37" s="1"/>
  <c r="M37" s="1"/>
  <c r="J49" s="1"/>
  <c r="M49" s="1"/>
  <c r="J61" s="1"/>
  <c r="M61" s="1"/>
  <c r="M24"/>
  <c r="J36" s="1"/>
  <c r="M36" s="1"/>
  <c r="J48" s="1"/>
  <c r="B24"/>
  <c r="B25" s="1"/>
  <c r="B26" s="1"/>
  <c r="B27" s="1"/>
  <c r="M23"/>
  <c r="J35" s="1"/>
  <c r="M35" s="1"/>
  <c r="J47" s="1"/>
  <c r="M47" s="1"/>
  <c r="J59" s="1"/>
  <c r="M59" s="1"/>
  <c r="M22"/>
  <c r="J34" s="1"/>
  <c r="M34" s="1"/>
  <c r="J46" s="1"/>
  <c r="M46" s="1"/>
  <c r="J58" s="1"/>
  <c r="M58" s="1"/>
  <c r="M21"/>
  <c r="G16"/>
  <c r="I9"/>
  <c r="I10"/>
  <c r="F22" s="1"/>
  <c r="N22" s="1"/>
  <c r="I11"/>
  <c r="F23" s="1"/>
  <c r="N23" s="1"/>
  <c r="I12"/>
  <c r="F24" s="1"/>
  <c r="N24" s="1"/>
  <c r="I13"/>
  <c r="F25" s="1"/>
  <c r="I25" s="1"/>
  <c r="F37" s="1"/>
  <c r="I37" s="1"/>
  <c r="F49" s="1"/>
  <c r="I14"/>
  <c r="F26" s="1"/>
  <c r="I26" s="1"/>
  <c r="F38" s="1"/>
  <c r="I38" s="1"/>
  <c r="F50" s="1"/>
  <c r="I15"/>
  <c r="F27" s="1"/>
  <c r="N27" s="1"/>
  <c r="H16"/>
  <c r="J16"/>
  <c r="F11" i="58"/>
  <c r="L16" i="102"/>
  <c r="B12"/>
  <c r="B13" s="1"/>
  <c r="B14" s="1"/>
  <c r="B15" s="1"/>
  <c r="N12"/>
  <c r="M12"/>
  <c r="N11"/>
  <c r="N10"/>
  <c r="N9"/>
  <c r="M9"/>
  <c r="N15"/>
  <c r="M15"/>
  <c r="N14"/>
  <c r="N13"/>
  <c r="M13"/>
  <c r="D13" i="126" l="1"/>
  <c r="F13"/>
  <c r="G13"/>
  <c r="J33" i="102"/>
  <c r="J40" s="1"/>
  <c r="M28"/>
  <c r="N16"/>
  <c r="F21"/>
  <c r="I16"/>
  <c r="D13" i="104"/>
  <c r="H11" i="58"/>
  <c r="I11"/>
  <c r="J11"/>
  <c r="G11"/>
  <c r="M48" i="102"/>
  <c r="J60" s="1"/>
  <c r="N37"/>
  <c r="N50"/>
  <c r="I50"/>
  <c r="F62" s="1"/>
  <c r="N49"/>
  <c r="I49"/>
  <c r="F61" s="1"/>
  <c r="D10" i="105"/>
  <c r="N38" i="102"/>
  <c r="N26"/>
  <c r="I23"/>
  <c r="I22"/>
  <c r="F34" s="1"/>
  <c r="N25"/>
  <c r="I27"/>
  <c r="N21"/>
  <c r="O37"/>
  <c r="O26"/>
  <c r="O38"/>
  <c r="O25"/>
  <c r="O12"/>
  <c r="O9"/>
  <c r="M11"/>
  <c r="O11" s="1"/>
  <c r="M10"/>
  <c r="O10" s="1"/>
  <c r="O15"/>
  <c r="O13"/>
  <c r="M14"/>
  <c r="O14" s="1"/>
  <c r="M33" l="1"/>
  <c r="N28"/>
  <c r="E9" i="126"/>
  <c r="D16"/>
  <c r="D15"/>
  <c r="D17" s="1"/>
  <c r="D19" s="1"/>
  <c r="D21" s="1"/>
  <c r="D22" s="1"/>
  <c r="F12" i="58" s="1"/>
  <c r="M16" i="102"/>
  <c r="O16"/>
  <c r="I21"/>
  <c r="F28"/>
  <c r="J45"/>
  <c r="M40"/>
  <c r="O22"/>
  <c r="M60"/>
  <c r="O49"/>
  <c r="O50"/>
  <c r="O27"/>
  <c r="F39"/>
  <c r="I61"/>
  <c r="O61" s="1"/>
  <c r="N61"/>
  <c r="O23"/>
  <c r="F35"/>
  <c r="N34"/>
  <c r="I34"/>
  <c r="N62"/>
  <c r="I62"/>
  <c r="O62" s="1"/>
  <c r="E13" i="104" l="1"/>
  <c r="E11" i="126"/>
  <c r="F33" i="102"/>
  <c r="O21"/>
  <c r="M45"/>
  <c r="J52"/>
  <c r="I35"/>
  <c r="N35"/>
  <c r="I39"/>
  <c r="N39"/>
  <c r="F46"/>
  <c r="O34"/>
  <c r="J57" l="1"/>
  <c r="M52"/>
  <c r="N33"/>
  <c r="I33"/>
  <c r="F51"/>
  <c r="O39"/>
  <c r="N46"/>
  <c r="I46"/>
  <c r="F47"/>
  <c r="O35"/>
  <c r="F45" l="1"/>
  <c r="O33"/>
  <c r="M57"/>
  <c r="M64" s="1"/>
  <c r="J64"/>
  <c r="N47"/>
  <c r="I47"/>
  <c r="F58"/>
  <c r="O46"/>
  <c r="I51"/>
  <c r="N51"/>
  <c r="I45" l="1"/>
  <c r="N45"/>
  <c r="I58"/>
  <c r="N58"/>
  <c r="F63"/>
  <c r="O51"/>
  <c r="O47"/>
  <c r="F59"/>
  <c r="F57" l="1"/>
  <c r="O45"/>
  <c r="O58"/>
  <c r="N63"/>
  <c r="I63"/>
  <c r="O63" s="1"/>
  <c r="N59"/>
  <c r="I59"/>
  <c r="O59" s="1"/>
  <c r="F31" i="116"/>
  <c r="D4" s="1"/>
  <c r="F30"/>
  <c r="I15"/>
  <c r="G26" s="1"/>
  <c r="G28" s="1"/>
  <c r="J10"/>
  <c r="G25" s="1"/>
  <c r="I10"/>
  <c r="G27" s="1"/>
  <c r="F15" i="110" s="1"/>
  <c r="F14" i="66"/>
  <c r="G14"/>
  <c r="H14"/>
  <c r="I14"/>
  <c r="G15" i="110" l="1"/>
  <c r="H25" i="116"/>
  <c r="H31" s="1"/>
  <c r="J4" s="1"/>
  <c r="F13" i="110"/>
  <c r="F14"/>
  <c r="F17" s="1"/>
  <c r="H26" i="116"/>
  <c r="I57" i="102"/>
  <c r="N57"/>
  <c r="G10" i="58"/>
  <c r="H27" i="116"/>
  <c r="I27" s="1"/>
  <c r="J27" s="1"/>
  <c r="G29"/>
  <c r="L10"/>
  <c r="N10"/>
  <c r="K10"/>
  <c r="M10"/>
  <c r="G31"/>
  <c r="G4" s="1"/>
  <c r="F29"/>
  <c r="F32"/>
  <c r="C4"/>
  <c r="E4" s="1"/>
  <c r="G30"/>
  <c r="F28"/>
  <c r="I25" l="1"/>
  <c r="I26"/>
  <c r="H28"/>
  <c r="E10" i="104"/>
  <c r="E9"/>
  <c r="G14" i="110"/>
  <c r="F16"/>
  <c r="F19"/>
  <c r="E16" i="104" s="1"/>
  <c r="O57" i="102"/>
  <c r="G13" i="110"/>
  <c r="F18"/>
  <c r="H15"/>
  <c r="G17"/>
  <c r="G19"/>
  <c r="F16" i="104" s="1"/>
  <c r="H29" i="116"/>
  <c r="O10"/>
  <c r="Q10" s="1"/>
  <c r="S10" s="1"/>
  <c r="P10"/>
  <c r="R10" s="1"/>
  <c r="T10" s="1"/>
  <c r="J25"/>
  <c r="I29"/>
  <c r="I31"/>
  <c r="M4" s="1"/>
  <c r="H30"/>
  <c r="F4"/>
  <c r="H4" s="1"/>
  <c r="G32"/>
  <c r="H13" i="110" l="1"/>
  <c r="G18"/>
  <c r="F10" i="104"/>
  <c r="F9"/>
  <c r="H14" i="110"/>
  <c r="G16"/>
  <c r="I15"/>
  <c r="H19"/>
  <c r="G16" i="104" s="1"/>
  <c r="H17" i="110"/>
  <c r="E11" i="104"/>
  <c r="J26" i="116"/>
  <c r="J28" s="1"/>
  <c r="I28"/>
  <c r="J31"/>
  <c r="P4" s="1"/>
  <c r="I30"/>
  <c r="H32"/>
  <c r="I4"/>
  <c r="K4" s="1"/>
  <c r="D22" i="106"/>
  <c r="R21" i="86"/>
  <c r="R22"/>
  <c r="Q22"/>
  <c r="Q21"/>
  <c r="R20"/>
  <c r="Q20"/>
  <c r="Q12"/>
  <c r="Q17"/>
  <c r="R17"/>
  <c r="Q13"/>
  <c r="R13"/>
  <c r="R12"/>
  <c r="D36" i="111"/>
  <c r="I30"/>
  <c r="J29" i="116" l="1"/>
  <c r="G9" i="104"/>
  <c r="G10"/>
  <c r="I14" i="110"/>
  <c r="I16" s="1"/>
  <c r="H16"/>
  <c r="F11" i="104"/>
  <c r="I13" i="110"/>
  <c r="I18" s="1"/>
  <c r="H18"/>
  <c r="J30" i="116"/>
  <c r="I32"/>
  <c r="L4"/>
  <c r="N4" s="1"/>
  <c r="I17" i="110" l="1"/>
  <c r="G11" i="104"/>
  <c r="H11"/>
  <c r="H9"/>
  <c r="H10"/>
  <c r="I19" i="110"/>
  <c r="H16" i="104" s="1"/>
  <c r="J32" i="116"/>
  <c r="O4"/>
  <c r="Q4" s="1"/>
  <c r="G11" i="93" l="1"/>
  <c r="H17" i="105"/>
  <c r="G17"/>
  <c r="F17"/>
  <c r="E17"/>
  <c r="D17"/>
  <c r="G8" i="109" l="1"/>
  <c r="G11" i="105"/>
  <c r="F11"/>
  <c r="H8" i="109"/>
  <c r="H12" i="93"/>
  <c r="D19" i="105"/>
  <c r="H10" l="1"/>
  <c r="H11" s="1"/>
  <c r="F14" i="109"/>
  <c r="F16"/>
  <c r="D14"/>
  <c r="D16"/>
  <c r="G16"/>
  <c r="G14"/>
  <c r="H16"/>
  <c r="H14"/>
  <c r="J10" i="58"/>
  <c r="F10"/>
  <c r="D13" i="93"/>
  <c r="E10" s="1"/>
  <c r="D11" i="105"/>
  <c r="D13" s="1"/>
  <c r="I10" i="58"/>
  <c r="H10"/>
  <c r="E12" i="93" l="1"/>
  <c r="G20" i="109"/>
  <c r="D20"/>
  <c r="H20"/>
  <c r="F20"/>
  <c r="D20" i="105"/>
  <c r="E9"/>
  <c r="E16" i="102"/>
  <c r="E8" i="109" l="1"/>
  <c r="E11" s="1"/>
  <c r="E10" i="105"/>
  <c r="E11" s="1"/>
  <c r="E13" s="1"/>
  <c r="F9" s="1"/>
  <c r="E13" i="93"/>
  <c r="F10" s="1"/>
  <c r="F13" s="1"/>
  <c r="D21" i="105"/>
  <c r="D22" s="1"/>
  <c r="E19"/>
  <c r="E16" i="109" l="1"/>
  <c r="E14"/>
  <c r="G28" i="102"/>
  <c r="I24"/>
  <c r="F19" i="105"/>
  <c r="F13"/>
  <c r="G9" s="1"/>
  <c r="E20"/>
  <c r="E21" s="1"/>
  <c r="E22" s="1"/>
  <c r="M22" i="106"/>
  <c r="J15" i="58" s="1"/>
  <c r="L22" i="106"/>
  <c r="I15" i="58" s="1"/>
  <c r="K22" i="106"/>
  <c r="H15" i="58" s="1"/>
  <c r="J22" i="106"/>
  <c r="G15" i="58" s="1"/>
  <c r="I22" i="106"/>
  <c r="H22"/>
  <c r="G22"/>
  <c r="F22"/>
  <c r="E22"/>
  <c r="F15" i="58" s="1"/>
  <c r="J18"/>
  <c r="J20" s="1"/>
  <c r="I18"/>
  <c r="I20" s="1"/>
  <c r="H18"/>
  <c r="H20" s="1"/>
  <c r="G18"/>
  <c r="F18"/>
  <c r="F20" s="1"/>
  <c r="R23" i="86"/>
  <c r="Q23"/>
  <c r="O23"/>
  <c r="N23"/>
  <c r="M23"/>
  <c r="L23"/>
  <c r="K23"/>
  <c r="R18"/>
  <c r="Q18"/>
  <c r="O18"/>
  <c r="N18"/>
  <c r="M18"/>
  <c r="L18"/>
  <c r="K18"/>
  <c r="J18"/>
  <c r="K30" i="111"/>
  <c r="J30"/>
  <c r="T30"/>
  <c r="S30"/>
  <c r="R30"/>
  <c r="E13" i="126" l="1"/>
  <c r="F9" s="1"/>
  <c r="O24" i="102"/>
  <c r="O28" s="1"/>
  <c r="F36"/>
  <c r="I28"/>
  <c r="E20" i="109"/>
  <c r="F14" i="58"/>
  <c r="M25" i="86"/>
  <c r="J25"/>
  <c r="P25"/>
  <c r="G19" i="105"/>
  <c r="G13"/>
  <c r="H9" s="1"/>
  <c r="F20"/>
  <c r="F21" s="1"/>
  <c r="F22" s="1"/>
  <c r="G9" i="126" l="1"/>
  <c r="F11"/>
  <c r="F15" s="1"/>
  <c r="F17" s="1"/>
  <c r="F19" s="1"/>
  <c r="F21" s="1"/>
  <c r="F22" s="1"/>
  <c r="H12" i="58" s="1"/>
  <c r="F16" i="126"/>
  <c r="E16"/>
  <c r="E15"/>
  <c r="E17" s="1"/>
  <c r="E19" s="1"/>
  <c r="E21" s="1"/>
  <c r="E22" s="1"/>
  <c r="G12" i="58" s="1"/>
  <c r="I36" i="102"/>
  <c r="N36"/>
  <c r="N40" s="1"/>
  <c r="F40"/>
  <c r="F13" i="104" s="1"/>
  <c r="H14" i="58"/>
  <c r="G20" i="105"/>
  <c r="G21" s="1"/>
  <c r="G22" s="1"/>
  <c r="H19"/>
  <c r="H13"/>
  <c r="H39" i="111"/>
  <c r="G39"/>
  <c r="F39"/>
  <c r="E39"/>
  <c r="H36"/>
  <c r="G36"/>
  <c r="F36"/>
  <c r="E36"/>
  <c r="H9" i="126" l="1"/>
  <c r="G11"/>
  <c r="G15" s="1"/>
  <c r="G17" s="1"/>
  <c r="G19" s="1"/>
  <c r="G21" s="1"/>
  <c r="G22" s="1"/>
  <c r="I12" i="58" s="1"/>
  <c r="G16" i="126"/>
  <c r="O36" i="102"/>
  <c r="O40" s="1"/>
  <c r="F48"/>
  <c r="I40"/>
  <c r="E40" s="1"/>
  <c r="I14" i="58"/>
  <c r="G14"/>
  <c r="H20" i="105"/>
  <c r="H21" s="1"/>
  <c r="H22" s="1"/>
  <c r="B19" i="58"/>
  <c r="B20" s="1"/>
  <c r="H11" i="126" l="1"/>
  <c r="H15" s="1"/>
  <c r="H17" s="1"/>
  <c r="H19" s="1"/>
  <c r="H21" s="1"/>
  <c r="H22" s="1"/>
  <c r="J12" i="58" s="1"/>
  <c r="H16" i="126"/>
  <c r="I48" i="102"/>
  <c r="N48"/>
  <c r="N52" s="1"/>
  <c r="F52"/>
  <c r="G13" i="104" s="1"/>
  <c r="B35" i="111"/>
  <c r="B36" s="1"/>
  <c r="B37" s="1"/>
  <c r="O48" i="102" l="1"/>
  <c r="O52" s="1"/>
  <c r="F60"/>
  <c r="I52"/>
  <c r="E52" s="1"/>
  <c r="J14" i="58"/>
  <c r="B38" i="111"/>
  <c r="B39" s="1"/>
  <c r="I60" i="102" l="1"/>
  <c r="N60"/>
  <c r="N64" s="1"/>
  <c r="F64"/>
  <c r="H13" i="104" s="1"/>
  <c r="B11" i="106"/>
  <c r="B12" s="1"/>
  <c r="B13" s="1"/>
  <c r="B14" s="1"/>
  <c r="B15" s="1"/>
  <c r="B16" s="1"/>
  <c r="B17" s="1"/>
  <c r="B18" s="1"/>
  <c r="B19" s="1"/>
  <c r="B20" s="1"/>
  <c r="B21" s="1"/>
  <c r="B10" i="105"/>
  <c r="B11" s="1"/>
  <c r="B12" s="1"/>
  <c r="B13" s="1"/>
  <c r="B15" s="1"/>
  <c r="B16" s="1"/>
  <c r="B17" s="1"/>
  <c r="B19" s="1"/>
  <c r="B10" i="104"/>
  <c r="B11" s="1"/>
  <c r="B12" s="1"/>
  <c r="B13" s="1"/>
  <c r="B14" s="1"/>
  <c r="B16" s="1"/>
  <c r="B17" s="1"/>
  <c r="B18" s="1"/>
  <c r="B19" s="1"/>
  <c r="O60" i="102" l="1"/>
  <c r="O64" s="1"/>
  <c r="I64"/>
  <c r="E64" s="1"/>
  <c r="B20" i="105"/>
  <c r="B21" s="1"/>
  <c r="B11" i="58"/>
  <c r="B12" s="1"/>
  <c r="B13" s="1"/>
  <c r="B14" s="1"/>
  <c r="B15" s="1"/>
  <c r="B16" s="1"/>
  <c r="B41" i="81" l="1"/>
  <c r="B42" s="1"/>
  <c r="B37"/>
  <c r="B38" s="1"/>
  <c r="B33"/>
  <c r="B34" s="1"/>
  <c r="B27"/>
  <c r="B28" s="1"/>
  <c r="B29" s="1"/>
  <c r="B30" s="1"/>
  <c r="B23"/>
  <c r="B24" s="1"/>
  <c r="B19"/>
  <c r="B20" s="1"/>
  <c r="B15"/>
  <c r="B16" s="1"/>
  <c r="B9" i="57"/>
  <c r="B10" s="1"/>
  <c r="B11" s="1"/>
  <c r="B12" s="1"/>
  <c r="B13" l="1"/>
  <c r="B14" s="1"/>
  <c r="B15" s="1"/>
  <c r="B12" i="66"/>
  <c r="B13" s="1"/>
  <c r="B14" s="1"/>
  <c r="B16" i="57" l="1"/>
  <c r="B17" s="1"/>
  <c r="B18" s="1"/>
  <c r="B19" s="1"/>
  <c r="B20" s="1"/>
  <c r="B21" s="1"/>
  <c r="B22" s="1"/>
  <c r="B23" l="1"/>
  <c r="B24" s="1"/>
  <c r="B25" s="1"/>
  <c r="B26" s="1"/>
  <c r="B27" s="1"/>
  <c r="B28" s="1"/>
  <c r="B30" s="1"/>
  <c r="B31" s="1"/>
  <c r="B32" s="1"/>
  <c r="B33" l="1"/>
  <c r="B34" s="1"/>
  <c r="B35" s="1"/>
  <c r="B36" s="1"/>
  <c r="B37" s="1"/>
  <c r="B38" s="1"/>
  <c r="B39" s="1"/>
  <c r="G10" i="93" l="1"/>
  <c r="G13" l="1"/>
  <c r="H10" s="1"/>
  <c r="H13" s="1"/>
  <c r="O19" i="117"/>
  <c r="O21"/>
  <c r="O23" l="1"/>
  <c r="F30" i="81" s="1"/>
  <c r="G19" i="58" l="1"/>
  <c r="G20" s="1"/>
  <c r="F23" i="81" l="1"/>
  <c r="F29" s="1"/>
  <c r="F13" i="58"/>
  <c r="G13"/>
  <c r="H13"/>
  <c r="I13"/>
  <c r="J13"/>
  <c r="F16"/>
  <c r="G16"/>
  <c r="H16"/>
  <c r="I16"/>
  <c r="J16"/>
  <c r="F21"/>
  <c r="G21"/>
  <c r="H21"/>
  <c r="I21"/>
  <c r="J21"/>
  <c r="D14" i="104"/>
  <c r="E14"/>
  <c r="F14"/>
  <c r="G14"/>
  <c r="H14"/>
  <c r="D17"/>
  <c r="E17"/>
  <c r="F17"/>
  <c r="G17"/>
  <c r="H17"/>
  <c r="D19"/>
  <c r="E19"/>
  <c r="F19"/>
  <c r="G19"/>
  <c r="H19"/>
  <c r="D20"/>
</calcChain>
</file>

<file path=xl/sharedStrings.xml><?xml version="1.0" encoding="utf-8"?>
<sst xmlns="http://schemas.openxmlformats.org/spreadsheetml/2006/main" count="2282" uniqueCount="1110">
  <si>
    <t>Equity</t>
  </si>
  <si>
    <t>Reference</t>
  </si>
  <si>
    <t>S.No.</t>
  </si>
  <si>
    <t>Actual</t>
  </si>
  <si>
    <t>(Rs. Crore)</t>
  </si>
  <si>
    <t>Estimated</t>
  </si>
  <si>
    <t>Form 1</t>
  </si>
  <si>
    <t>Title</t>
  </si>
  <si>
    <t>Projected</t>
  </si>
  <si>
    <t>…</t>
  </si>
  <si>
    <t>Approved</t>
  </si>
  <si>
    <t>Remarks</t>
  </si>
  <si>
    <t>Audited</t>
  </si>
  <si>
    <t>Opening Balance of Loan</t>
  </si>
  <si>
    <t>Particulars</t>
  </si>
  <si>
    <t>Equity portion of capitalisation during the year</t>
  </si>
  <si>
    <t>Reduction in Equity Capital on account of retirement / replacement of assets</t>
  </si>
  <si>
    <t>Regulatory Equity at the end of the year</t>
  </si>
  <si>
    <t>Form 3</t>
  </si>
  <si>
    <t>Form 4</t>
  </si>
  <si>
    <t>Form 2.1</t>
  </si>
  <si>
    <t>Form 2.2</t>
  </si>
  <si>
    <t>Planned &amp; Forced Outages</t>
  </si>
  <si>
    <t>Form 3.1</t>
  </si>
  <si>
    <t>Form 3.2</t>
  </si>
  <si>
    <t>Form 5</t>
  </si>
  <si>
    <t>Form 6</t>
  </si>
  <si>
    <t>Form 7</t>
  </si>
  <si>
    <t>Form 8</t>
  </si>
  <si>
    <t>Form 9</t>
  </si>
  <si>
    <t>Form 10</t>
  </si>
  <si>
    <t>Form 11</t>
  </si>
  <si>
    <t>(a)</t>
  </si>
  <si>
    <t>(b)</t>
  </si>
  <si>
    <t>Operation &amp; Maintenance Expenses</t>
  </si>
  <si>
    <t>Interest on Working Capital</t>
  </si>
  <si>
    <t>Less: Non-Tariff Income</t>
  </si>
  <si>
    <t>Units</t>
  </si>
  <si>
    <t>MW</t>
  </si>
  <si>
    <t>Target Availability for full recovery of AFC</t>
  </si>
  <si>
    <t>%</t>
  </si>
  <si>
    <t>Target PLF for Incentive</t>
  </si>
  <si>
    <t>Scheduled Generation</t>
  </si>
  <si>
    <t>MU</t>
  </si>
  <si>
    <t>Normative Auxiliary Energy Consumption</t>
  </si>
  <si>
    <t>Net Generation</t>
  </si>
  <si>
    <t>Normative Gross Station Heat Rate</t>
  </si>
  <si>
    <t>kcal/kWh</t>
  </si>
  <si>
    <t>Normative Secondary Fuel Oil Consumption</t>
  </si>
  <si>
    <t>ml/kWh</t>
  </si>
  <si>
    <t>Normative Transit Loss</t>
  </si>
  <si>
    <t>2.1.1</t>
  </si>
  <si>
    <t>2.1.2</t>
  </si>
  <si>
    <t>2.1.3</t>
  </si>
  <si>
    <t>2.2.1</t>
  </si>
  <si>
    <t>2.2.2</t>
  </si>
  <si>
    <t>2.2.3</t>
  </si>
  <si>
    <t>Transit Loss</t>
  </si>
  <si>
    <t>Total Working Capital requirement</t>
  </si>
  <si>
    <t>Gross Generation</t>
  </si>
  <si>
    <t>A.</t>
  </si>
  <si>
    <t>Planned Outages</t>
  </si>
  <si>
    <t>No of days of outage</t>
  </si>
  <si>
    <t>Reasons for Outage</t>
  </si>
  <si>
    <t>B.</t>
  </si>
  <si>
    <t>Forced Outages</t>
  </si>
  <si>
    <t xml:space="preserve">Reasons for Outage </t>
  </si>
  <si>
    <t>A</t>
  </si>
  <si>
    <t>A. For Existing Generating Stations</t>
  </si>
  <si>
    <t xml:space="preserve">Employee Expenses </t>
  </si>
  <si>
    <t>Total O&amp;M Expenses</t>
  </si>
  <si>
    <t xml:space="preserve">Unit </t>
  </si>
  <si>
    <t>B</t>
  </si>
  <si>
    <t>C</t>
  </si>
  <si>
    <t>Miscellaneous Expenses</t>
  </si>
  <si>
    <t>Buildings</t>
  </si>
  <si>
    <t>Civil Works</t>
  </si>
  <si>
    <t>Additions during the year</t>
  </si>
  <si>
    <t>Total</t>
  </si>
  <si>
    <t>(MU)</t>
  </si>
  <si>
    <t>Apr</t>
  </si>
  <si>
    <t>May</t>
  </si>
  <si>
    <t>Jun</t>
  </si>
  <si>
    <t>Jul</t>
  </si>
  <si>
    <t>Aug</t>
  </si>
  <si>
    <t>Sep</t>
  </si>
  <si>
    <t>Oct</t>
  </si>
  <si>
    <t>Nov</t>
  </si>
  <si>
    <t>Dec</t>
  </si>
  <si>
    <t>Jan</t>
  </si>
  <si>
    <t>Feb</t>
  </si>
  <si>
    <t>Mar</t>
  </si>
  <si>
    <t>Actuals</t>
  </si>
  <si>
    <t xml:space="preserve"> Total</t>
  </si>
  <si>
    <t>Income from sale of ash/rejected coal</t>
  </si>
  <si>
    <t>Non-Tariff Income</t>
  </si>
  <si>
    <t>Actual/Projected Availability</t>
  </si>
  <si>
    <t>Actual/Projected PLF</t>
  </si>
  <si>
    <t>Actual/Projected Gross Generation</t>
  </si>
  <si>
    <t>Actual/Projected Auxiliary Energy Consumption</t>
  </si>
  <si>
    <t>Actual/Projected Gross Station Heat Rate</t>
  </si>
  <si>
    <t>Actual/Projected Secondary Fuel Oil Consumption</t>
  </si>
  <si>
    <t>Actual/Projected Transit Loss</t>
  </si>
  <si>
    <t>Form 12</t>
  </si>
  <si>
    <t>Income from sale of tender documents</t>
  </si>
  <si>
    <t xml:space="preserve">Depreciation </t>
  </si>
  <si>
    <t>2.3.1</t>
  </si>
  <si>
    <t>2.3.2</t>
  </si>
  <si>
    <t>2.3.3</t>
  </si>
  <si>
    <t>Sr. No.</t>
  </si>
  <si>
    <t>Form 13</t>
  </si>
  <si>
    <t>2.4.1</t>
  </si>
  <si>
    <t>2.4.2</t>
  </si>
  <si>
    <t>2.4.3</t>
  </si>
  <si>
    <t>Auxiliary Consumption</t>
  </si>
  <si>
    <t>Availability</t>
  </si>
  <si>
    <t>Plant Load Factor (PLF)</t>
  </si>
  <si>
    <t>Secondary Fuel Oil Consumption</t>
  </si>
  <si>
    <t>(d)</t>
  </si>
  <si>
    <t>Return on Equity Computation</t>
  </si>
  <si>
    <t>Total Return on Equity</t>
  </si>
  <si>
    <t>Reasons for Delay, if any</t>
  </si>
  <si>
    <t>Capital Cost as per Original Estimates*</t>
  </si>
  <si>
    <t xml:space="preserve">Break Down </t>
  </si>
  <si>
    <t>Break up of Capital Cost</t>
  </si>
  <si>
    <t>Reasons for Variation</t>
  </si>
  <si>
    <t>Ordering Cost</t>
  </si>
  <si>
    <t>Contractors</t>
  </si>
  <si>
    <t>(e)</t>
  </si>
  <si>
    <t>(g)</t>
  </si>
  <si>
    <t>(h)</t>
  </si>
  <si>
    <t xml:space="preserve">Cost of Land &amp; Site Development  </t>
  </si>
  <si>
    <t xml:space="preserve">Land </t>
  </si>
  <si>
    <t>Preliminary Investigation &amp; Site development</t>
  </si>
  <si>
    <t xml:space="preserve">Total  Land &amp; Site Development </t>
  </si>
  <si>
    <t>Steam Generator Island</t>
  </si>
  <si>
    <t>SG &amp; Auxiliaries</t>
  </si>
  <si>
    <t>Mills</t>
  </si>
  <si>
    <t>2.1.4</t>
  </si>
  <si>
    <t>SG HT Motor</t>
  </si>
  <si>
    <t>2.1.5</t>
  </si>
  <si>
    <t>SG Controls</t>
  </si>
  <si>
    <t>2.1.6</t>
  </si>
  <si>
    <t>Ceraline Bends</t>
  </si>
  <si>
    <t>2.1.7</t>
  </si>
  <si>
    <t>HVR with EC</t>
  </si>
  <si>
    <t>2.1.8</t>
  </si>
  <si>
    <t>Critical Piping</t>
  </si>
  <si>
    <t>Turbine Generator Island</t>
  </si>
  <si>
    <t>TG and Auxiliaries</t>
  </si>
  <si>
    <t>Power Cycle Pumps,LP Heaters 2&amp; 3,Drain Cooler,HP Heaters,Deaearators</t>
  </si>
  <si>
    <t>TG HT Motors,ACWP Motors</t>
  </si>
  <si>
    <t>2.2.4</t>
  </si>
  <si>
    <t>TG Controls</t>
  </si>
  <si>
    <t>2.2.5</t>
  </si>
  <si>
    <t>RE Joints &amp; Butterfly Valves,Misc.Tanks,Condensor&amp; Heat Exchanger</t>
  </si>
  <si>
    <t>2.2.6</t>
  </si>
  <si>
    <t>Valves</t>
  </si>
  <si>
    <t>2.2.7</t>
  </si>
  <si>
    <t>Other Misc.Items</t>
  </si>
  <si>
    <t>2.2.8</t>
  </si>
  <si>
    <t>CPU,DM Storage Tank,Condensate Storage Tank,Structural Steel.</t>
  </si>
  <si>
    <t>2.2.9</t>
  </si>
  <si>
    <t>TG Cycle Piping &amp; LP Piping</t>
  </si>
  <si>
    <t>2.2.10</t>
  </si>
  <si>
    <t>Other</t>
  </si>
  <si>
    <t>2.2.11</t>
  </si>
  <si>
    <t>Generator Transformer,Station Transformer</t>
  </si>
  <si>
    <t>2.2.12</t>
  </si>
  <si>
    <t>6.6 KV Switchgear &amp; Relay Panels&amp; Bus Transfer Scheme</t>
  </si>
  <si>
    <t>2.2.13</t>
  </si>
  <si>
    <t>2.2.14</t>
  </si>
  <si>
    <t>UAT,DTT</t>
  </si>
  <si>
    <t>2.2.15</t>
  </si>
  <si>
    <t>SPB &amp; IBP</t>
  </si>
  <si>
    <t>2.2.16</t>
  </si>
  <si>
    <t>CW Pumps</t>
  </si>
  <si>
    <t>2.2.17</t>
  </si>
  <si>
    <t>CW Pump Motor</t>
  </si>
  <si>
    <t>BOP Mechanical</t>
  </si>
  <si>
    <t>Water Treatment Plant</t>
  </si>
  <si>
    <t>Fire Protection Alarm &amp; Detection System</t>
  </si>
  <si>
    <t>Fuel Oil System</t>
  </si>
  <si>
    <t>2.3.4</t>
  </si>
  <si>
    <t>Coal Handling System</t>
  </si>
  <si>
    <t>2.3.5</t>
  </si>
  <si>
    <t>2.3.6</t>
  </si>
  <si>
    <t>Chimney Supply Components</t>
  </si>
  <si>
    <t>2.3.7</t>
  </si>
  <si>
    <t>Log Gates,Screensfor RWPH &amp; CWPH</t>
  </si>
  <si>
    <t>2.3.8</t>
  </si>
  <si>
    <t>CW Piping Material</t>
  </si>
  <si>
    <t>2.3.9</t>
  </si>
  <si>
    <t>Fitting for CW System</t>
  </si>
  <si>
    <t>2.3.10</t>
  </si>
  <si>
    <t>ACW Piping Material</t>
  </si>
  <si>
    <t>2.3.11</t>
  </si>
  <si>
    <t>Fittings for ACW System</t>
  </si>
  <si>
    <t>2.3.12</t>
  </si>
  <si>
    <t>WTP Chemicals</t>
  </si>
  <si>
    <t>2.3.13</t>
  </si>
  <si>
    <t>Chlorination Plant</t>
  </si>
  <si>
    <t>2.3.14</t>
  </si>
  <si>
    <t>LP Pipings &amp; Fittings</t>
  </si>
  <si>
    <t>2.3.15</t>
  </si>
  <si>
    <t>Supports for LP Piping</t>
  </si>
  <si>
    <t>2.3.16</t>
  </si>
  <si>
    <t>Miscellaneous Pumps</t>
  </si>
  <si>
    <t>2.3.17</t>
  </si>
  <si>
    <t>Miscellaneous Cranes &amp; Hoists</t>
  </si>
  <si>
    <t>2.3.18</t>
  </si>
  <si>
    <t>Turbine EOT Crane</t>
  </si>
  <si>
    <t>2.3.19</t>
  </si>
  <si>
    <t>2.3.20</t>
  </si>
  <si>
    <t>Ash Handling(Main Plant)</t>
  </si>
  <si>
    <t>2.3.21</t>
  </si>
  <si>
    <t>HCSD Pumps</t>
  </si>
  <si>
    <t>2.3.22</t>
  </si>
  <si>
    <t>Ash Disposal Piping</t>
  </si>
  <si>
    <t>2.3.23</t>
  </si>
  <si>
    <t>Mill Reject Handling System</t>
  </si>
  <si>
    <t>2.3.24</t>
  </si>
  <si>
    <t>Instrument/Service Air Compressors</t>
  </si>
  <si>
    <t>2.3.25</t>
  </si>
  <si>
    <t>Dryers</t>
  </si>
  <si>
    <t>2.3.26</t>
  </si>
  <si>
    <t>Equipment for Testing,Monitoring &amp; Control of Pollution</t>
  </si>
  <si>
    <t>2.3.27</t>
  </si>
  <si>
    <t>Gas Bottles</t>
  </si>
  <si>
    <t>2.3.28</t>
  </si>
  <si>
    <t>Lab Equipments &amp; Reagents</t>
  </si>
  <si>
    <t>2.3.29</t>
  </si>
  <si>
    <t>Passenger Lifts</t>
  </si>
  <si>
    <t>2.3.30</t>
  </si>
  <si>
    <t>Paints for Equipment &amp; System</t>
  </si>
  <si>
    <t>2.3.31</t>
  </si>
  <si>
    <t>Air Conditioning</t>
  </si>
  <si>
    <t>2.3.32</t>
  </si>
  <si>
    <t>Ventilation</t>
  </si>
  <si>
    <t>2.3.33</t>
  </si>
  <si>
    <t>Total BOP Mechanical</t>
  </si>
  <si>
    <t>BOP Electrical</t>
  </si>
  <si>
    <t>Power Transformer</t>
  </si>
  <si>
    <t>Service Transformer</t>
  </si>
  <si>
    <t>2.4.4</t>
  </si>
  <si>
    <t>LT Switchgear</t>
  </si>
  <si>
    <t>2.4.5</t>
  </si>
  <si>
    <t>HT,LT,Power Control &amp;Instrumentation &amp; Communication Cables</t>
  </si>
  <si>
    <t>2.4.6</t>
  </si>
  <si>
    <t>Cable Terminations</t>
  </si>
  <si>
    <t>2.4.7</t>
  </si>
  <si>
    <t>Cable Trays</t>
  </si>
  <si>
    <t>2.4.8</t>
  </si>
  <si>
    <t>Lighting Fixtures &amp; Accessories</t>
  </si>
  <si>
    <t>2.4.9</t>
  </si>
  <si>
    <t>Fire Proof Sealing System</t>
  </si>
  <si>
    <t>2.4.10</t>
  </si>
  <si>
    <t>Plant Communication System</t>
  </si>
  <si>
    <t>2.4.11</t>
  </si>
  <si>
    <t>Baterry &amp; Battery Chargers</t>
  </si>
  <si>
    <t>2.4.12</t>
  </si>
  <si>
    <t>Earthing And Lightening Protection</t>
  </si>
  <si>
    <t>2.4.13</t>
  </si>
  <si>
    <t>Emergency DG Set</t>
  </si>
  <si>
    <t>2.4.14</t>
  </si>
  <si>
    <t>UPS System</t>
  </si>
  <si>
    <t>2.4.15</t>
  </si>
  <si>
    <t>CHP Electrical,C&amp;I</t>
  </si>
  <si>
    <t>2.4.16</t>
  </si>
  <si>
    <t>Total BOP Electrical</t>
  </si>
  <si>
    <t>Total BoP E&amp;M</t>
  </si>
  <si>
    <t>2.5.1</t>
  </si>
  <si>
    <t>Control &amp; Instrumentation Package</t>
  </si>
  <si>
    <t>Other E&amp;M Works</t>
  </si>
  <si>
    <t>Total Plant &amp; Equipment including taxes &amp; Duties</t>
  </si>
  <si>
    <t>Taxes and Duties</t>
  </si>
  <si>
    <t>2.6.1</t>
  </si>
  <si>
    <t>Custom Duty</t>
  </si>
  <si>
    <t>2.6.2</t>
  </si>
  <si>
    <t>Other Taxes &amp; Duties</t>
  </si>
  <si>
    <t>Total Taxes &amp; Duties</t>
  </si>
  <si>
    <t xml:space="preserve">Total Plant &amp; Equipment  </t>
  </si>
  <si>
    <t>Main plant/Adm. Building</t>
  </si>
  <si>
    <t>CW system</t>
  </si>
  <si>
    <t>Cooling Towers</t>
  </si>
  <si>
    <t xml:space="preserve">DM water Plant </t>
  </si>
  <si>
    <t>Clarification plant</t>
  </si>
  <si>
    <t>Chlorination plant</t>
  </si>
  <si>
    <t>Fuel  Handling &amp; Storage system</t>
  </si>
  <si>
    <t>Coal Handling Plant</t>
  </si>
  <si>
    <t>MGR &amp; Marshalling Yard</t>
  </si>
  <si>
    <t xml:space="preserve">Ash Handling System </t>
  </si>
  <si>
    <t>Ash disposal area development</t>
  </si>
  <si>
    <t>Fire fighting System</t>
  </si>
  <si>
    <t>Township &amp; Colony</t>
  </si>
  <si>
    <t>Temp. construction &amp; enabling works</t>
  </si>
  <si>
    <t xml:space="preserve"> Road &amp; Drainage</t>
  </si>
  <si>
    <t>Other than BTG/BOP</t>
  </si>
  <si>
    <t xml:space="preserve">Total Civil works </t>
  </si>
  <si>
    <t>Erection Testing and commissioning</t>
  </si>
  <si>
    <t>Site supervision</t>
  </si>
  <si>
    <t>Operator's Training</t>
  </si>
  <si>
    <t>Construction Insurance</t>
  </si>
  <si>
    <t>Tools &amp; Plant</t>
  </si>
  <si>
    <t>Start up fuel</t>
  </si>
  <si>
    <t>Total  Construction &amp; Pre- Commissioning Expenses</t>
  </si>
  <si>
    <t>Overheads</t>
  </si>
  <si>
    <t>Establishment</t>
  </si>
  <si>
    <t>Design &amp; Engineering</t>
  </si>
  <si>
    <t>Audit &amp; Accounts</t>
  </si>
  <si>
    <t>Contingency</t>
  </si>
  <si>
    <t>Total Overheads</t>
  </si>
  <si>
    <t>Capital cost Excluding IDC &amp; FC</t>
  </si>
  <si>
    <t>Capital cost including IDC &amp; FC</t>
  </si>
  <si>
    <t>Name / No. of Construction / Supply / Service Package</t>
  </si>
  <si>
    <t>No. of bids recd.</t>
  </si>
  <si>
    <t>Date of Award</t>
  </si>
  <si>
    <t>Date of Start of Work</t>
  </si>
  <si>
    <t>Scheduled date of completion of work</t>
  </si>
  <si>
    <t>Firm or with Escalation in prices</t>
  </si>
  <si>
    <t>Original Financial Package</t>
  </si>
  <si>
    <t>Financial Package as on COD (Consolidated)</t>
  </si>
  <si>
    <t xml:space="preserve">Currency </t>
  </si>
  <si>
    <t>Amount in foreign currency (for foreign loans)</t>
  </si>
  <si>
    <t>Equivalent Amount in Rs Crore</t>
  </si>
  <si>
    <t>Currency</t>
  </si>
  <si>
    <t>Loan</t>
  </si>
  <si>
    <t>Total Loan</t>
  </si>
  <si>
    <t>Equity-</t>
  </si>
  <si>
    <t>Foreign</t>
  </si>
  <si>
    <t>Internal Accurals</t>
  </si>
  <si>
    <t>Total Equity</t>
  </si>
  <si>
    <t>Undischarged Liabilities</t>
  </si>
  <si>
    <t>Debt : Equity Ratio (Excluding Undischarged Liabilities)</t>
  </si>
  <si>
    <t>Note : Please submit copy of sanction letters/Loan Agreements for each loan</t>
  </si>
  <si>
    <t>Source of Loan/Name of Agency</t>
  </si>
  <si>
    <t>Fixed Interest Rate, if applicable</t>
  </si>
  <si>
    <t>If above is yes,specify caps/floor</t>
  </si>
  <si>
    <t>Moratorium effective from</t>
  </si>
  <si>
    <t>Repayment effective from</t>
  </si>
  <si>
    <t>Justification</t>
  </si>
  <si>
    <t>Financing Details</t>
  </si>
  <si>
    <t>Internal Resources</t>
  </si>
  <si>
    <t>Total IDC &amp; FC</t>
  </si>
  <si>
    <t>Consolidated as  on COD of Station</t>
  </si>
  <si>
    <t xml:space="preserve">Variation </t>
  </si>
  <si>
    <t>Total Cost</t>
  </si>
  <si>
    <t>Domestic Component</t>
  </si>
  <si>
    <t>2.5.2</t>
  </si>
  <si>
    <t>2.5.3</t>
  </si>
  <si>
    <t>2.6.3</t>
  </si>
  <si>
    <t>2.6.4</t>
  </si>
  <si>
    <t>Financial Package as on COD of Unit- Name 2</t>
  </si>
  <si>
    <t>Project Schedule</t>
  </si>
  <si>
    <t>Abstract of Capital Cost</t>
  </si>
  <si>
    <t>Breakup of Capital Cost</t>
  </si>
  <si>
    <t>Breakup of Construction/Supply/Services/Packages</t>
  </si>
  <si>
    <t>Details of Loans</t>
  </si>
  <si>
    <t>Financing of Additional Capitalisation</t>
  </si>
  <si>
    <t>Loan 2</t>
  </si>
  <si>
    <t>S. No.</t>
  </si>
  <si>
    <t>Rs./kWh</t>
  </si>
  <si>
    <t>Rs. Crore</t>
  </si>
  <si>
    <t>Financial Package</t>
  </si>
  <si>
    <t>Gross Station Heat Rate</t>
  </si>
  <si>
    <t>True-Up requirement</t>
  </si>
  <si>
    <t>Legend</t>
  </si>
  <si>
    <t>R &amp; M Expenses</t>
  </si>
  <si>
    <t>Installed Capacity</t>
  </si>
  <si>
    <t xml:space="preserve">O&amp;M Expenses </t>
  </si>
  <si>
    <t>Rs. Lakh/MW</t>
  </si>
  <si>
    <t>Capital Cost excluding IDC &amp; Financing Charges</t>
  </si>
  <si>
    <t>Capital cost excluding IDC &amp; Financing Charges</t>
  </si>
  <si>
    <t>Scope of works (in line with head of cost break-ups as applicable)</t>
  </si>
  <si>
    <t>Value of Award in Rs. Crore</t>
  </si>
  <si>
    <t>Total incl. Price Variation</t>
  </si>
  <si>
    <t>Actual expenditure till the completion or upto COD whichever is earlier (Rs. Crore)</t>
  </si>
  <si>
    <t>Financial Package as on COD of Unit-…</t>
  </si>
  <si>
    <t>Amount of Loan sanctioned (Rs. Crore)</t>
  </si>
  <si>
    <t>Financial Year</t>
  </si>
  <si>
    <t xml:space="preserve">Domestic </t>
  </si>
  <si>
    <t>Summary of Capital Expenditure and Capitalisation</t>
  </si>
  <si>
    <t>Interest Type1</t>
  </si>
  <si>
    <t>Base Rate, if Floating Interest2</t>
  </si>
  <si>
    <t>Margin, if Floating Interest3</t>
  </si>
  <si>
    <t>Are there any Caps/Floor4</t>
  </si>
  <si>
    <t>Moratorium Period5</t>
  </si>
  <si>
    <t>Repayment Period6</t>
  </si>
  <si>
    <t>Repayment Frequency7</t>
  </si>
  <si>
    <t>Repayment Instalment8,9,10</t>
  </si>
  <si>
    <t>1 Interest type means whether the interest is fixed or floating.</t>
  </si>
  <si>
    <t>2 Base rate means the base as PLR, LIBOR etc. over which the margin is to be added. Applicable base rate on different dates from the date of drawal may also be enclosed.</t>
  </si>
  <si>
    <t>3 Margin means the points over and above the floating rate.</t>
  </si>
  <si>
    <t>4 At times caps/floor are put at which the floating rates are frozen. If such a condition exists, specify the limits.</t>
  </si>
  <si>
    <t>5 Moratorium period refers to the period during which loan repayment is not required.</t>
  </si>
  <si>
    <t>6 Repayment period means the repayment of loan such as  10 years, 15 years etc.</t>
  </si>
  <si>
    <t>7 Repayment frequency means the interval at which the debt servicing is to be done such as monthly, quarterly, half yearly, etc</t>
  </si>
  <si>
    <t>9 If the repayment  instalment amount and repayment date  can not be worked out from the data furnished above, the repayment schedule to be  furnished seperately.</t>
  </si>
  <si>
    <t>10 In case of Foreign loan,date of each  drawal &amp; repayment alongwith exchange rate at that date may be given.</t>
  </si>
  <si>
    <t>Type of Thermal Generating Station (Pithead/Non-Pithead)</t>
  </si>
  <si>
    <t>Land</t>
  </si>
  <si>
    <t>Form 15</t>
  </si>
  <si>
    <t>Form 16</t>
  </si>
  <si>
    <t>800 MW sets &amp; above</t>
  </si>
  <si>
    <t>Regulatory Equity at the beginning of the year</t>
  </si>
  <si>
    <t>Capitalisation during the year</t>
  </si>
  <si>
    <t>Return on Regulatory Equity at the beginning of the year</t>
  </si>
  <si>
    <t>Return on Regulatory Equity addition during the year</t>
  </si>
  <si>
    <t>Capital Cost Approval*</t>
  </si>
  <si>
    <t>Revenue from Sale of Electricity</t>
  </si>
  <si>
    <t>Control Period</t>
  </si>
  <si>
    <t>Claimed</t>
  </si>
  <si>
    <t>Apr-Sep</t>
  </si>
  <si>
    <t xml:space="preserve">Oct-Mar        </t>
  </si>
  <si>
    <t>Interest and finance charges on loan</t>
  </si>
  <si>
    <t>Return on Equity</t>
  </si>
  <si>
    <t>Annual Fixed Charges</t>
  </si>
  <si>
    <t>Energy Charges</t>
  </si>
  <si>
    <t>Energy Charge Rate</t>
  </si>
  <si>
    <t>Scheduled Energy (ex-bus)</t>
  </si>
  <si>
    <t>B. For New Generating Stations achieving COD during the Control Period</t>
  </si>
  <si>
    <t>Apr - Mar</t>
  </si>
  <si>
    <t>Apr-Mar</t>
  </si>
  <si>
    <t>A&amp;G Expenses</t>
  </si>
  <si>
    <t>O&amp;M Norms specified by CERC</t>
  </si>
  <si>
    <t>Note:</t>
  </si>
  <si>
    <t>The projections for the Control Period to be supported by detailed computations</t>
  </si>
  <si>
    <t>Opening Capital Works in Progress</t>
  </si>
  <si>
    <t>Closing Capital Works in Progress</t>
  </si>
  <si>
    <t>FY</t>
  </si>
  <si>
    <t>Name of the work</t>
  </si>
  <si>
    <t>Name of the package (BTG, BoP, Civil Works etc.)</t>
  </si>
  <si>
    <t>Scope of work</t>
  </si>
  <si>
    <t>Total estimated cost* (Rs. Crore)</t>
  </si>
  <si>
    <t>*</t>
  </si>
  <si>
    <t>Total estimated cost to be supported by documentary evidences like work orders, investment approvals etc.</t>
  </si>
  <si>
    <t>Capital expenditure during the year (Rs. Crore)</t>
  </si>
  <si>
    <t>Capitalisation during the year (Rs. Crore)</t>
  </si>
  <si>
    <t>A/c Code</t>
  </si>
  <si>
    <t>Rate of Depriciation</t>
  </si>
  <si>
    <t xml:space="preserve">Gross fixed Assets </t>
  </si>
  <si>
    <t>Provisions for depreciation</t>
  </si>
  <si>
    <t xml:space="preserve">Net fixed Assets </t>
  </si>
  <si>
    <t>At the beginning of the year</t>
  </si>
  <si>
    <t>Adjust. &amp; deductions</t>
  </si>
  <si>
    <t>At the end of the year</t>
  </si>
  <si>
    <t>Cumulative upto the beginning of the year</t>
  </si>
  <si>
    <t>Adjust. during the year</t>
  </si>
  <si>
    <t>Cumulative at the end of the year</t>
  </si>
  <si>
    <t>Asset group under which the capitalisation has been accounted (Land, Buldings, etc.)</t>
  </si>
  <si>
    <t xml:space="preserve">Asset Group                                                                                                                                                </t>
  </si>
  <si>
    <t>Form 2</t>
  </si>
  <si>
    <t>Form 2.3</t>
  </si>
  <si>
    <t>Form 3:  Summary of Capital Expenditure and Capitalisation</t>
  </si>
  <si>
    <t>Form 3.1:  Statement of Additional Capitalisation after COD</t>
  </si>
  <si>
    <t>Form 4:  Fixed Assets &amp; Depreciation</t>
  </si>
  <si>
    <t>Capital Expenditure during the year</t>
  </si>
  <si>
    <t>Interest</t>
  </si>
  <si>
    <t>Finance charges</t>
  </si>
  <si>
    <t>Total Interest &amp; Finance charges</t>
  </si>
  <si>
    <t>Form 6:  Interest on working capital</t>
  </si>
  <si>
    <t>Cost of coal, towards stock</t>
  </si>
  <si>
    <t>Cost of coal for generation</t>
  </si>
  <si>
    <t>Cost of secondary fuel oil</t>
  </si>
  <si>
    <t>O&amp;M expenses</t>
  </si>
  <si>
    <t>Maintenance spares</t>
  </si>
  <si>
    <t>Less:</t>
  </si>
  <si>
    <t>Interest rate</t>
  </si>
  <si>
    <t>Interest on working capital</t>
  </si>
  <si>
    <t>Form 7:  Return on Equity</t>
  </si>
  <si>
    <t>Rate of Return on Equity</t>
  </si>
  <si>
    <t>Base rate of Return on Equity</t>
  </si>
  <si>
    <t>Effective Income Tax rate</t>
  </si>
  <si>
    <t>Form 8:  Non-Tariff Income</t>
  </si>
  <si>
    <t>Income from rent of land or buildings</t>
  </si>
  <si>
    <t>Net income from sale of de-capitalised assets</t>
  </si>
  <si>
    <t>Income from sale of scrap</t>
  </si>
  <si>
    <t>Income from statutory investments</t>
  </si>
  <si>
    <t>Interest income on advances to suppliers/ contractors</t>
  </si>
  <si>
    <t>Income from rental from staff quarters</t>
  </si>
  <si>
    <t>Income from rental from contractors</t>
  </si>
  <si>
    <t>Income from hire charges from contactors and others</t>
  </si>
  <si>
    <t>Income from advertisements</t>
  </si>
  <si>
    <t xml:space="preserve">April-March    </t>
  </si>
  <si>
    <t>Form 9:  Planned &amp; Forced Outages</t>
  </si>
  <si>
    <t>Form 10: Operational parameters</t>
  </si>
  <si>
    <t>Additional capitalisation</t>
  </si>
  <si>
    <t>Others (Please Specify)</t>
  </si>
  <si>
    <t>Total (2+3+4+5)</t>
  </si>
  <si>
    <t>Opening Quantity</t>
  </si>
  <si>
    <t>Opening quantity of coal</t>
  </si>
  <si>
    <t>Value ot stock</t>
  </si>
  <si>
    <t>MT</t>
  </si>
  <si>
    <t>Rs.</t>
  </si>
  <si>
    <t>Procurement</t>
  </si>
  <si>
    <t>Quantity of coal suppllied by the coal company</t>
  </si>
  <si>
    <t>Coal supplied by coal company (3+4)</t>
  </si>
  <si>
    <t>Normative transit and handling loss</t>
  </si>
  <si>
    <t>Net coal supplied</t>
  </si>
  <si>
    <t>Price</t>
  </si>
  <si>
    <t>Amount charged by coal company</t>
  </si>
  <si>
    <t>Adjustment in amount charged by the coal company</t>
  </si>
  <si>
    <t>Handling, sampling and such other similar charges</t>
  </si>
  <si>
    <t>Total amount charged (8+9+10)</t>
  </si>
  <si>
    <t>D</t>
  </si>
  <si>
    <t>Transportation</t>
  </si>
  <si>
    <t>Transportation charges</t>
  </si>
  <si>
    <t>By rail</t>
  </si>
  <si>
    <t>By road</t>
  </si>
  <si>
    <t>By ship</t>
  </si>
  <si>
    <t>Adjustment in amount charged by the coal transporter</t>
  </si>
  <si>
    <t>Demurrage charges, if any</t>
  </si>
  <si>
    <t>Total Transportation charges (12+13+14+15)</t>
  </si>
  <si>
    <t>Total amount charged for coal supplied including transportation (11+16)</t>
  </si>
  <si>
    <t>E</t>
  </si>
  <si>
    <t>Landed cost of coal (2+17)/(1+7)</t>
  </si>
  <si>
    <t>Rs./MT</t>
  </si>
  <si>
    <t>Blending Ratio (Domestic/Imported)</t>
  </si>
  <si>
    <t>Weighted average cost of coal for preceding three months</t>
  </si>
  <si>
    <t>F</t>
  </si>
  <si>
    <t>Quality</t>
  </si>
  <si>
    <t>kcal/kg</t>
  </si>
  <si>
    <t>GCV of Domestic Coal supplied as per bill of Coal Company</t>
  </si>
  <si>
    <t>GCV of Imported Coal supplied as per bill Coal Company</t>
  </si>
  <si>
    <t>Weighted average GCV of coal as Billed</t>
  </si>
  <si>
    <t>GCV of Domestic Coal supplied as received at Station</t>
  </si>
  <si>
    <t>GCV of Imported Coal of opening stock as received at Station</t>
  </si>
  <si>
    <t>Weighted average GCV of coal as Received</t>
  </si>
  <si>
    <t>Similar details to be furnished for secondary fuel oil for coal based thermal plants with appropriate units.</t>
  </si>
  <si>
    <t>As billed and as received GCV, quantity of coal, and price should be submitted as certified by statutory auditor.</t>
  </si>
  <si>
    <t>Details to be provided for each source separately. In case of more than one source, add additional column.</t>
  </si>
  <si>
    <t>Break up of the amount charged by the Coal Company is to be provided separately.</t>
  </si>
  <si>
    <t>COD</t>
  </si>
  <si>
    <t>Form 12: Energy Charge Rate</t>
  </si>
  <si>
    <t>Secondary Fuel oil consumption</t>
  </si>
  <si>
    <t>Calorific Value of Secondary Fuel</t>
  </si>
  <si>
    <t>Landed Price of Secondary Fuel</t>
  </si>
  <si>
    <t>Landed Price of Coal</t>
  </si>
  <si>
    <t>Specific Coal Consumption</t>
  </si>
  <si>
    <t>ECR</t>
  </si>
  <si>
    <t>AUX</t>
  </si>
  <si>
    <t>SFC</t>
  </si>
  <si>
    <t>CVSF</t>
  </si>
  <si>
    <t>kcal/ml</t>
  </si>
  <si>
    <t>LPSF</t>
  </si>
  <si>
    <t>Rs./ml</t>
  </si>
  <si>
    <t>CVPF</t>
  </si>
  <si>
    <t>LPPF</t>
  </si>
  <si>
    <t>Rs./kg</t>
  </si>
  <si>
    <t>kg/kWh</t>
  </si>
  <si>
    <t>GSHR</t>
  </si>
  <si>
    <t>Gross Calorific Value of Coal</t>
  </si>
  <si>
    <r>
      <t xml:space="preserve">              </t>
    </r>
    <r>
      <rPr>
        <b/>
        <sz val="11"/>
        <rFont val="Arial"/>
        <family val="2"/>
      </rPr>
      <t xml:space="preserve">               </t>
    </r>
  </si>
  <si>
    <t>Beneficiary</t>
  </si>
  <si>
    <r>
      <rPr>
        <b/>
        <sz val="11"/>
        <rFont val="Arial"/>
        <family val="2"/>
      </rPr>
      <t>Note</t>
    </r>
    <r>
      <rPr>
        <sz val="11"/>
        <rFont val="Arial"/>
        <family val="2"/>
      </rPr>
      <t>: Copies of Contract to be submitted</t>
    </r>
  </si>
  <si>
    <t>Scheduled Commercial Operation Date</t>
  </si>
  <si>
    <t>MYT/Tariff Order</t>
  </si>
  <si>
    <t>Quarter</t>
  </si>
  <si>
    <t>Actual as executed</t>
  </si>
  <si>
    <t>Zero Date:</t>
  </si>
  <si>
    <t>Scheduled COD:</t>
  </si>
  <si>
    <t>Actual COD:</t>
  </si>
  <si>
    <t>The infusion of external Equity to be substantiated with documentary evidences.</t>
  </si>
  <si>
    <t>The infusion of internal resources to be substantiated with availability of free reserves as per the audited accouts for the respective year(s).</t>
  </si>
  <si>
    <t>Reasons for variation in quarter wise phasing of expenditure as per Original Schedule and actual as executed to be submitted.</t>
  </si>
  <si>
    <t>Date</t>
  </si>
  <si>
    <t>As per Original Schedule/DPR</t>
  </si>
  <si>
    <t>Loan Tranche date</t>
  </si>
  <si>
    <t>Loan Tranche amount</t>
  </si>
  <si>
    <t>Rate of interest</t>
  </si>
  <si>
    <t>From</t>
  </si>
  <si>
    <t>To</t>
  </si>
  <si>
    <t>Summary of year wise Interest During Construction and Finance Charges</t>
  </si>
  <si>
    <t>Repayment, if any</t>
  </si>
  <si>
    <t>Repayment</t>
  </si>
  <si>
    <t>Interest &amp; finance charges</t>
  </si>
  <si>
    <t>TOTAL</t>
  </si>
  <si>
    <t>Appendix 1: Tariff Filing Forms (Generation)</t>
  </si>
  <si>
    <t xml:space="preserve"> Tariff Filing Formats - Generation</t>
  </si>
  <si>
    <t>Form</t>
  </si>
  <si>
    <t>Checklist</t>
  </si>
  <si>
    <t>Tick</t>
  </si>
  <si>
    <t>Form 14</t>
  </si>
  <si>
    <t>Form 1:  Summary Sheet</t>
  </si>
  <si>
    <t>Summary Sheet</t>
  </si>
  <si>
    <t>Form 2:  Operation and Maintenance Expenses</t>
  </si>
  <si>
    <t>Operation and Maintenance Expenses</t>
  </si>
  <si>
    <t>Employee Expenses</t>
  </si>
  <si>
    <t>Administration &amp; General Expenses</t>
  </si>
  <si>
    <t>Repair &amp; Maintenance Expenses</t>
  </si>
  <si>
    <t>Statement of Additional Capitalisation after COD</t>
  </si>
  <si>
    <t>Fixed Assets &amp; Depreciation</t>
  </si>
  <si>
    <t>Operational parameters</t>
  </si>
  <si>
    <t>Fuel Details for computation of Energy Charge Rate</t>
  </si>
  <si>
    <t>Sales</t>
  </si>
  <si>
    <t>Revenue Reconciliation</t>
  </si>
  <si>
    <t>Summary of true-up</t>
  </si>
  <si>
    <t>Phasing of Expenditure, Debt and Equity upto COD</t>
  </si>
  <si>
    <t>Interest During Construction and Finance Charges upto COD</t>
  </si>
  <si>
    <r>
      <rPr>
        <b/>
        <sz val="12"/>
        <rFont val="Arial"/>
        <family val="2"/>
      </rPr>
      <t>Note</t>
    </r>
    <r>
      <rPr>
        <sz val="12"/>
        <rFont val="Arial"/>
        <family val="2"/>
      </rPr>
      <t>: * Applicable only for new Generating Station/Unit for which Provisional/Final tariff approval is being sought</t>
    </r>
  </si>
  <si>
    <t>Coal Based Thermal Power Plant (conventional steam generator)</t>
  </si>
  <si>
    <t>Special Features of the Plant</t>
  </si>
  <si>
    <t>Any other special features</t>
  </si>
  <si>
    <t>Primary Fuel</t>
  </si>
  <si>
    <t>Secondary Fuel</t>
  </si>
  <si>
    <t>Alternate Fuels</t>
  </si>
  <si>
    <t>COAL</t>
  </si>
  <si>
    <t>HFO/ HSD &amp;  LDO</t>
  </si>
  <si>
    <t>Details</t>
  </si>
  <si>
    <t>Module number or Unit number</t>
  </si>
  <si>
    <t>Unit # 1</t>
  </si>
  <si>
    <t>Unit # 2</t>
  </si>
  <si>
    <t>Unit # 3</t>
  </si>
  <si>
    <t>Unit # 4</t>
  </si>
  <si>
    <t>Unit # 5</t>
  </si>
  <si>
    <t>Installed Capacity (IC) MW</t>
  </si>
  <si>
    <t>Date of  Commercial Operation (COD)</t>
  </si>
  <si>
    <r>
      <t>Basic characteristics of the plant</t>
    </r>
    <r>
      <rPr>
        <b/>
        <vertAlign val="superscript"/>
        <sz val="11"/>
        <rFont val="Arial"/>
        <family val="2"/>
      </rPr>
      <t>1</t>
    </r>
  </si>
  <si>
    <r>
      <t>Site Specific Features</t>
    </r>
    <r>
      <rPr>
        <b/>
        <vertAlign val="superscript"/>
        <sz val="11"/>
        <rFont val="Arial"/>
        <family val="2"/>
      </rPr>
      <t>2</t>
    </r>
  </si>
  <si>
    <r>
      <t>Special Technological Features</t>
    </r>
    <r>
      <rPr>
        <b/>
        <vertAlign val="superscript"/>
        <sz val="11"/>
        <rFont val="Arial"/>
        <family val="2"/>
      </rPr>
      <t>3</t>
    </r>
  </si>
  <si>
    <r>
      <t>Environmental Regulation related features</t>
    </r>
    <r>
      <rPr>
        <b/>
        <vertAlign val="superscript"/>
        <sz val="11"/>
        <rFont val="Arial"/>
        <family val="2"/>
      </rPr>
      <t>4</t>
    </r>
  </si>
  <si>
    <r>
      <t>Fuel Details</t>
    </r>
    <r>
      <rPr>
        <b/>
        <vertAlign val="superscript"/>
        <sz val="11"/>
        <rFont val="Arial"/>
        <family val="2"/>
      </rPr>
      <t>5</t>
    </r>
  </si>
  <si>
    <r>
      <t>Type of cooling system</t>
    </r>
    <r>
      <rPr>
        <vertAlign val="superscript"/>
        <sz val="11"/>
        <rFont val="Arial"/>
        <family val="2"/>
      </rPr>
      <t>6</t>
    </r>
  </si>
  <si>
    <r>
      <t>Type of Boiler Feed Pump</t>
    </r>
    <r>
      <rPr>
        <vertAlign val="superscript"/>
        <sz val="11"/>
        <rFont val="Arial"/>
        <family val="2"/>
      </rPr>
      <t>7</t>
    </r>
  </si>
  <si>
    <r>
      <t xml:space="preserve"> </t>
    </r>
    <r>
      <rPr>
        <sz val="11"/>
        <color indexed="8"/>
        <rFont val="Arial"/>
        <family val="2"/>
      </rPr>
      <t xml:space="preserve">Pressure (kg/cm2) </t>
    </r>
    <r>
      <rPr>
        <sz val="11"/>
        <rFont val="Arial"/>
        <family val="2"/>
      </rPr>
      <t xml:space="preserve"> </t>
    </r>
  </si>
  <si>
    <r>
      <t xml:space="preserve"> </t>
    </r>
    <r>
      <rPr>
        <sz val="11"/>
        <color indexed="8"/>
        <rFont val="Arial"/>
        <family val="2"/>
      </rPr>
      <t xml:space="preserve">Temperature 0C </t>
    </r>
    <r>
      <rPr>
        <sz val="11"/>
        <rFont val="Arial"/>
        <family val="2"/>
      </rPr>
      <t xml:space="preserve"> </t>
    </r>
  </si>
  <si>
    <r>
      <t xml:space="preserve"> </t>
    </r>
    <r>
      <rPr>
        <sz val="11"/>
        <color indexed="8"/>
        <rFont val="Arial"/>
        <family val="2"/>
      </rPr>
      <t xml:space="preserve">-At Superheater Outlet </t>
    </r>
    <r>
      <rPr>
        <sz val="11"/>
        <rFont val="Arial"/>
        <family val="2"/>
      </rPr>
      <t xml:space="preserve"> </t>
    </r>
  </si>
  <si>
    <r>
      <t xml:space="preserve"> </t>
    </r>
    <r>
      <rPr>
        <sz val="11"/>
        <color indexed="8"/>
        <rFont val="Arial"/>
        <family val="2"/>
      </rPr>
      <t xml:space="preserve">-At Reheater Outlet </t>
    </r>
    <r>
      <rPr>
        <sz val="11"/>
        <rFont val="Arial"/>
        <family val="2"/>
      </rPr>
      <t xml:space="preserve"> </t>
    </r>
  </si>
  <si>
    <r>
      <t xml:space="preserve"> </t>
    </r>
    <r>
      <rPr>
        <b/>
        <sz val="11"/>
        <color indexed="8"/>
        <rFont val="Arial"/>
        <family val="2"/>
      </rPr>
      <t xml:space="preserve">Conditions on which guaranteed </t>
    </r>
    <r>
      <rPr>
        <sz val="11"/>
        <rFont val="Arial"/>
        <family val="2"/>
      </rPr>
      <t xml:space="preserve"> </t>
    </r>
  </si>
  <si>
    <r>
      <t xml:space="preserve"> </t>
    </r>
    <r>
      <rPr>
        <sz val="11"/>
        <color indexed="8"/>
        <rFont val="Arial"/>
        <family val="2"/>
      </rPr>
      <t xml:space="preserve">% MCR </t>
    </r>
    <r>
      <rPr>
        <sz val="11"/>
        <rFont val="Arial"/>
        <family val="2"/>
      </rPr>
      <t xml:space="preserve"> </t>
    </r>
  </si>
  <si>
    <r>
      <t xml:space="preserve"> </t>
    </r>
    <r>
      <rPr>
        <sz val="11"/>
        <color indexed="8"/>
        <rFont val="Arial"/>
        <family val="2"/>
      </rPr>
      <t xml:space="preserve">% Makeup </t>
    </r>
    <r>
      <rPr>
        <sz val="11"/>
        <rFont val="Arial"/>
        <family val="2"/>
      </rPr>
      <t xml:space="preserve"> </t>
    </r>
  </si>
  <si>
    <r>
      <t xml:space="preserve"> </t>
    </r>
    <r>
      <rPr>
        <sz val="11"/>
        <color indexed="8"/>
        <rFont val="Arial"/>
        <family val="2"/>
      </rPr>
      <t xml:space="preserve">Design Fuel </t>
    </r>
    <r>
      <rPr>
        <sz val="11"/>
        <rFont val="Arial"/>
        <family val="2"/>
      </rPr>
      <t xml:space="preserve"> </t>
    </r>
  </si>
  <si>
    <r>
      <t xml:space="preserve"> </t>
    </r>
    <r>
      <rPr>
        <sz val="11"/>
        <color indexed="8"/>
        <rFont val="Arial"/>
        <family val="2"/>
      </rPr>
      <t xml:space="preserve">Design cooling water Temperature </t>
    </r>
    <r>
      <rPr>
        <sz val="11"/>
        <rFont val="Arial"/>
        <family val="2"/>
      </rPr>
      <t xml:space="preserve"> </t>
    </r>
  </si>
  <si>
    <r>
      <t xml:space="preserve"> </t>
    </r>
    <r>
      <rPr>
        <sz val="11"/>
        <color indexed="8"/>
        <rFont val="Arial"/>
        <family val="2"/>
      </rPr>
      <t xml:space="preserve">Back Pressure </t>
    </r>
    <r>
      <rPr>
        <sz val="11"/>
        <rFont val="Arial"/>
        <family val="2"/>
      </rPr>
      <t xml:space="preserve"> </t>
    </r>
  </si>
  <si>
    <r>
      <t>2</t>
    </r>
    <r>
      <rPr>
        <sz val="11"/>
        <rFont val="Arial"/>
        <family val="2"/>
      </rPr>
      <t xml:space="preserve"> Any site specific feature such as Merry-Go-Round, Vicinity to sea, Intake /makeup water systems etc. scrubbers etc. Specify all such features.</t>
    </r>
  </si>
  <si>
    <r>
      <t>3</t>
    </r>
    <r>
      <rPr>
        <sz val="11"/>
        <rFont val="Arial"/>
        <family val="2"/>
      </rPr>
      <t xml:space="preserve">  Any Special Technological feature like Advanced class FA technology in Gas Turbines, etc.</t>
    </r>
  </si>
  <si>
    <r>
      <t>4</t>
    </r>
    <r>
      <rPr>
        <sz val="11"/>
        <rFont val="Arial"/>
        <family val="2"/>
      </rPr>
      <t xml:space="preserve">  Environmental regulation related  features like FGD, ESP etc.</t>
    </r>
  </si>
  <si>
    <r>
      <t>5</t>
    </r>
    <r>
      <rPr>
        <sz val="11"/>
        <rFont val="Arial"/>
        <family val="2"/>
      </rPr>
      <t xml:space="preserve"> Coal , oil etc. </t>
    </r>
  </si>
  <si>
    <r>
      <t>6</t>
    </r>
    <r>
      <rPr>
        <sz val="11"/>
        <rFont val="Arial"/>
        <family val="2"/>
      </rPr>
      <t xml:space="preserve"> Closed circuit cooling, once through cooling, sea cooling etc.</t>
    </r>
  </si>
  <si>
    <r>
      <t>7</t>
    </r>
    <r>
      <rPr>
        <sz val="11"/>
        <rFont val="Arial"/>
        <family val="2"/>
      </rPr>
      <t xml:space="preserve"> Motor driven, Steam turbine driven etc. </t>
    </r>
  </si>
  <si>
    <t>Form 17: Plant Characteristics (Thermal)</t>
  </si>
  <si>
    <t>Form 19.1</t>
  </si>
  <si>
    <t>Form 19.2</t>
  </si>
  <si>
    <t>Form 17</t>
  </si>
  <si>
    <t>Form 18</t>
  </si>
  <si>
    <t>Form 19.3</t>
  </si>
  <si>
    <t>Form 19.4</t>
  </si>
  <si>
    <t>Form 19.5</t>
  </si>
  <si>
    <t>Form 19.6</t>
  </si>
  <si>
    <t>Form 19.7</t>
  </si>
  <si>
    <t>Form 19.8</t>
  </si>
  <si>
    <t>Plant Characteristics (Thermal)</t>
  </si>
  <si>
    <t>Plant Characteristics (Hydel)</t>
  </si>
  <si>
    <t>Form 19.1 - Project Schedule</t>
  </si>
  <si>
    <t>Form 19.2 - Abstract of Capital Cost</t>
  </si>
  <si>
    <t>Form 19.3 - Break-up of Capital Cost</t>
  </si>
  <si>
    <t>Form 19.4 : Break up of Construction / Supply / Services / Package</t>
  </si>
  <si>
    <t>Form 19.5 : Financial Package</t>
  </si>
  <si>
    <t>Form 19.6 : Details of Loans</t>
  </si>
  <si>
    <t>Form 19.8: Interest During Construction and Finance Charges upto COD</t>
  </si>
  <si>
    <t>GCV of Domestic Coal of the opening stock as received at Station</t>
  </si>
  <si>
    <t>GCV of Imported Coal of the opening stock as per bill Coal Company</t>
  </si>
  <si>
    <t>GCV of Domestic Coal of the opening coal stock as per bill of Coal Company</t>
  </si>
  <si>
    <t>Cost of diesel in transporting coal through MGR system, if applicable</t>
  </si>
  <si>
    <t>AFC +Energy Charges</t>
  </si>
  <si>
    <t>Adjustment in coal quantity supplied by the coal company (-/+)</t>
  </si>
  <si>
    <r>
      <t>Receivables</t>
    </r>
    <r>
      <rPr>
        <sz val="10"/>
        <rFont val="Arial"/>
        <family val="2"/>
      </rPr>
      <t>1</t>
    </r>
  </si>
  <si>
    <t>1 In case actual loan is more than 75%, the modification in the formula need to be done accordingly.</t>
  </si>
  <si>
    <t>FY 2024-25</t>
  </si>
  <si>
    <t>FY 2025-26</t>
  </si>
  <si>
    <t>FY 2026-27</t>
  </si>
  <si>
    <t>FY 2027-28</t>
  </si>
  <si>
    <t>FY 2028-29</t>
  </si>
  <si>
    <t>TGSPDCL (70.55%)</t>
  </si>
  <si>
    <t>TGNPDCL (29.45%)</t>
  </si>
  <si>
    <t>No of Days after COD</t>
  </si>
  <si>
    <t>Unit-1 (800MW)</t>
  </si>
  <si>
    <t>Unit-3 (800MW)</t>
  </si>
  <si>
    <t>TGGENCO</t>
  </si>
  <si>
    <t>2024-25</t>
  </si>
  <si>
    <t>2025-26</t>
  </si>
  <si>
    <t>2026-27</t>
  </si>
  <si>
    <t>2027-28</t>
  </si>
  <si>
    <t>2028-29</t>
  </si>
  <si>
    <t>Sl. No.</t>
  </si>
  <si>
    <t>Station Name</t>
  </si>
  <si>
    <t>Coal Rate</t>
  </si>
  <si>
    <t>Oil Rate</t>
  </si>
  <si>
    <t>KTPS-V</t>
  </si>
  <si>
    <t>Average</t>
  </si>
  <si>
    <t>Wt.Ave.delivered Price of Coal</t>
  </si>
  <si>
    <t>Wt.Ave.delivered Price of Oil</t>
  </si>
  <si>
    <t>Rs/tonne</t>
  </si>
  <si>
    <t>(Rs/kl)</t>
  </si>
  <si>
    <t>GCV of Coal (As per FCA Bills)</t>
  </si>
  <si>
    <t>Qty of Coal Consumed</t>
  </si>
  <si>
    <t>Qty of Oil Consumed</t>
  </si>
  <si>
    <t>(kCal/kg)</t>
  </si>
  <si>
    <t>KL</t>
  </si>
  <si>
    <t>2024-2025</t>
  </si>
  <si>
    <t>2025-2026</t>
  </si>
  <si>
    <t>2026-2027</t>
  </si>
  <si>
    <t>2027-2028</t>
  </si>
  <si>
    <t>2028-2029</t>
  </si>
  <si>
    <t xml:space="preserve">Coal Rate </t>
  </si>
  <si>
    <t>Final Coal Rate Oil Rate calculation as per ECR Rates of YTPS</t>
  </si>
  <si>
    <t>YTPS</t>
  </si>
  <si>
    <t>TELANGANA STATE POWER GENERATION CORPORATION LIMITED (TGGENCO)</t>
  </si>
  <si>
    <t>Intake/make up water system (Water requirement for this project is planned  for drawal of 150 Cusecs of water throughout the year from
River Krishna on U/s of NagarjunaSagar Tail pond dam at a distance of about 20. 5 KM from the project. Raw water allocation of 208 cusecs i.e 6.60 TMC per year)</t>
  </si>
  <si>
    <t>NA</t>
  </si>
  <si>
    <t>To meet the new environmental norms,  the following features are incorporated  
Additional ESP field to limit the dust concentration to 30mg/Nm3, Installation of SCR to limit the Nox to 100mg/Nm3.,Installation of FGD to limit the SOx to 100mg/Nm3, COC of 6.5 to limit the water consumption and  Zero liquid discharge</t>
  </si>
  <si>
    <t>HFO</t>
  </si>
  <si>
    <t>LDO</t>
  </si>
  <si>
    <t>--</t>
  </si>
  <si>
    <t>25.01.2025</t>
  </si>
  <si>
    <t xml:space="preserve">Closed Crcuit cooling </t>
  </si>
  <si>
    <t>motor driven 1 No. and steam driven 2Nos              MDBFP( 1x60% ) &amp;TDBFP(2x50%).</t>
  </si>
  <si>
    <r>
      <t xml:space="preserve"> </t>
    </r>
    <r>
      <rPr>
        <b/>
        <sz val="11"/>
        <color indexed="8"/>
        <rFont val="Arial"/>
        <family val="2"/>
      </rPr>
      <t xml:space="preserve">Guaranteed Design Heat rate (kCal/kWh)8 </t>
    </r>
    <r>
      <rPr>
        <sz val="11"/>
        <rFont val="Arial"/>
        <family val="2"/>
      </rPr>
      <t xml:space="preserve"> </t>
    </r>
  </si>
  <si>
    <t>100% TMCR</t>
  </si>
  <si>
    <t>33/42.32</t>
  </si>
  <si>
    <t>0.0774/0.0992 ata</t>
  </si>
  <si>
    <r>
      <t>1</t>
    </r>
    <r>
      <rPr>
        <sz val="11"/>
        <rFont val="Arial"/>
        <family val="2"/>
      </rPr>
      <t xml:space="preserve"> Describe the basic characteristics of the plant e.g. in the case of a coal based plant whehter it is a conventional steam generator or circulating fludized bed combustion generator or sub-critical once through steam generator etc. </t>
    </r>
  </si>
  <si>
    <t>8 In case guaranteed unit heat rate is not
available then furnish the guaranteed turbine cycle
heat rate and guaranteed boiler efficiency
separately along with condition of guarantee.</t>
  </si>
  <si>
    <t>1st time extension</t>
  </si>
  <si>
    <t>Actual/
Anticipated  Commercial Operation Date</t>
  </si>
  <si>
    <t>Liquidated Damages recoverable as per provisions of Contract*(Rs in Cr)</t>
  </si>
  <si>
    <t>17.10.2021</t>
  </si>
  <si>
    <t>28.02.2023</t>
  </si>
  <si>
    <t>31.12.2023</t>
  </si>
  <si>
    <t>As per Annexure enclosed</t>
  </si>
  <si>
    <t>Unit-2 (800MW)</t>
  </si>
  <si>
    <t>01.03.2023</t>
  </si>
  <si>
    <t>17.10.2022</t>
  </si>
  <si>
    <t>30.04.2023</t>
  </si>
  <si>
    <t>31.10.2024</t>
  </si>
  <si>
    <t>Unit-4(800MW)</t>
  </si>
  <si>
    <t>31.05.2023</t>
  </si>
  <si>
    <t>30.09.2024</t>
  </si>
  <si>
    <t>Unit-5(800MW)</t>
  </si>
  <si>
    <t>30.06.2023</t>
  </si>
  <si>
    <t>31.12.2024</t>
  </si>
  <si>
    <t>Equipment cost including spares</t>
  </si>
  <si>
    <t>ETC (Erection, Testing &amp; Commissioning) and freight including taxes</t>
  </si>
  <si>
    <t>Civil works including taxes</t>
  </si>
  <si>
    <t>Contingency(EPC)</t>
  </si>
  <si>
    <t>Grand Total(EPC works)</t>
  </si>
  <si>
    <t>BOP including spares, Freight &amp; Insurance Unloading at site</t>
  </si>
  <si>
    <t>Contingency(Non EPC)</t>
  </si>
  <si>
    <t xml:space="preserve"> Establishment cost</t>
  </si>
  <si>
    <t>Consultancy</t>
  </si>
  <si>
    <t>Operating training</t>
  </si>
  <si>
    <t>CSR</t>
  </si>
  <si>
    <t>NON EPC works</t>
  </si>
  <si>
    <t>IDC</t>
  </si>
  <si>
    <t>Financial Charges(FC)</t>
  </si>
  <si>
    <t>Actual / Anticipated date of completion of work</t>
  </si>
  <si>
    <t xml:space="preserve">% of Completion </t>
  </si>
  <si>
    <t>TSGENCO-YTPS(5x800MW)-
Supply Contract
M/s Bharat Heavy Electricals Limited,
Power Sector - Marketing,
Siri Fort,
BHEL House,
NEW DELHI-110049, Delhi
TSGENCO-YTPS(5x800MW)-
Supply Contract
3000000014, Dt:29.03.2018.</t>
  </si>
  <si>
    <t>Design, Engineering, Manufacture, Supply  of main plant &amp; balance of plant equipment including mandatory spares for 5X800 MW Coal Fired Supercritical Thermal Units (Detailed Supply Purchase Order) and the PO was amended on 19.03.2021 due re-designing of 400 KV Switchyard YTPS with Short Circuit fault level of 63 KA instead of 50KA and the PO was amended on 19.05.2023 due to Borosilicate lining</t>
  </si>
  <si>
    <t>Nomination</t>
  </si>
  <si>
    <t>17.10.2017</t>
  </si>
  <si>
    <t xml:space="preserve">U1: 17.10.2021
U2: 17.10.2021
U3; 17.10.2022
U4: 17.10.2022
U5: 17.10.2022
</t>
  </si>
  <si>
    <t xml:space="preserve">14482.33+ 250(estimate ERV/CDV Variation) </t>
  </si>
  <si>
    <t xml:space="preserve">Firm </t>
  </si>
  <si>
    <t>TSGENCO-YTPS(5x800MW)-
E&amp;C Contract
M/s Bharat Heavy Electricals Limited,
Power Sector - Marketing,
Siri Fort, BHEL House,
NEW DELHI-110049, Delhi
3000000015, Dt:29.03.2018.</t>
  </si>
  <si>
    <t>Transportation of equipment to site, transit insurance, unloading at site, storage, comprehensive construction insurance, inter site transportation &amp; handling, construction, erection, testing &amp; commissioning of the main plant, balance of plant equipment, of the complete coal fired supercritical steam power plant (including boiler, turbine, generator, transformers, station C&amp;I, and all the required balance of Plant etc.,) for 5 X800 MW Yadadri Thermal Power Station (Detailed Erection &amp; Commissioning Purchase Order ) and the PO was amended on 19.03.2021 due re-designing of 400 KV Switchyard YTPS with Short Circuit fault level of 63 KA instead of 50KA</t>
  </si>
  <si>
    <t>TSGENCO-YTPS(5x800MW)-
Civil Contract
M/s Bharat Heavy Electricals Limited,
Power Sector - Marketing,
Siri Fort,
BHEL House,
NEW DELHI-110049, Delhi
(3000000016, Dt:29.03.2018.)Civil Contract</t>
  </si>
  <si>
    <t>Design, Engineering, Supply of all material, Labour, Execution &amp; Erection of complete Civil, Structural, Architectural works  and miscellaneous works  for  the complete coal fired Supercritical steam power plant for 5 X800 MW Yadadri  Thermal Power Station (Detailed Civil Purchase Order)and the PO was amended on 19.03.2021 due re-designing of 400 KV Switchyard 4YTPS with Short Circuit fault level of 63 KA instead of 50KA</t>
  </si>
  <si>
    <t xml:space="preserve">YTPS(5x800MW)/ Consulting services/
 M/s Tata Consulting Engineers Limited, 73/1,Sheriff Centre, 
St. Marks road, 
Bangalore-560 001.
(4900025310, Dt: 31.08.2018)
</t>
  </si>
  <si>
    <t>Review Engineering Consultancy Services for 5X800MW YTPS</t>
  </si>
  <si>
    <t>Limited</t>
  </si>
  <si>
    <t>31.08.2018</t>
  </si>
  <si>
    <t>17.66(excl taxes)/          20.83(incl.Taxes)</t>
  </si>
  <si>
    <t>TSGENCO-YTPS(5x800MW)-Third Party Inspection Services-
M/s. LRQA Inspection services India LLP
Solitaire Corporate Park
Unit No.1241, Building No.S-12, 4th Floor,
Guru Hargovindji Marg, Andheri- Ghatkopar Link Road,
Andheri (East), Mumbai- 400093
Maharashtra, India.
(4900027868, Dt: 30.05.2019)</t>
  </si>
  <si>
    <t>Third Party Inspection Services on man month rate  basis at BHEL units of Haridwar, Ranipet, Trichy, Bhopal &amp; Jhansi for Yadadri Thermal Power Station (5x800 MW) at Veerlapalem village, Damercherla Mandal, Nalgonda dist, Telangana</t>
  </si>
  <si>
    <t>31.10.2018</t>
  </si>
  <si>
    <t>5.15(excl.taxes)/ 6.08(incl.taxes)</t>
  </si>
  <si>
    <t xml:space="preserve">M/s. Shri Thirumala Enterprises
Corp.Office:1-11-256/C/5/A, Plot No.6,
Street No.1, Behind Sridevi Pochamma Temple
Bhagavanthpur Gaganvihar colony
ICICI Bank Lane, Begumpet
Hyderabad-500016.
4900031610, Dt:10.09.2020
</t>
  </si>
  <si>
    <t>Supply, Erection, Installation, Testing and Commissioning of Package Type Ductable Air Conditioning System at Canteen Building-I at YTPS (5x800MW)</t>
  </si>
  <si>
    <t>19.02.2020</t>
  </si>
  <si>
    <t xml:space="preserve">60 days from the date of issue of LOI </t>
  </si>
  <si>
    <t>30.11.2020.</t>
  </si>
  <si>
    <t>0.28(excl.taxes)                     0.34(inclusive of taxes)</t>
  </si>
  <si>
    <t>M/s. Trinayani Electricals 
Pvt Ltd
Regd.Office:
H.No.5-2-4/5/1,
Kukatpally,
Hyderabad- 500072
5300001289, Dt: 03.09.2021</t>
  </si>
  <si>
    <t>Supply and Transportation of 12mtr High Mast Pole with 250W LED luminaries at various locations of YTPS (5x800MW)</t>
  </si>
  <si>
    <t>16.01.2021</t>
  </si>
  <si>
    <t xml:space="preserve">6-8 weeks from the date of LOI </t>
  </si>
  <si>
    <t>04.08.2021</t>
  </si>
  <si>
    <t xml:space="preserve">M/s. Srinivasa Electricals
(JV with M/s Anil Electrical and Sanitary Goods Stores, Siddipet)
D.no.3-1-177, Mothi Market,
Koti, Hyderabad-500027.
Ph. No: 040-24654819,Cell-9391144647
Email  : srinivasaelectricals.org@gmail.com,
            pallysgoud@yahoo.com
</t>
  </si>
  <si>
    <t xml:space="preserve">Supply, Erection, Testing &amp; Commissioning of 3 Nos DTTs 11KV/433V with distribution Boards, 20 Nos High Mast Lighting poles and Providing General Lighting, Fans and ACs along with Alternative Power Supply like DG Set and OHE supply for Railway Buildings in the Marshalling Yard and Exchange Yard of YTPS (5X800MW) </t>
  </si>
  <si>
    <t>28.01.2025</t>
  </si>
  <si>
    <r>
      <t>3 months</t>
    </r>
    <r>
      <rPr>
        <sz val="10"/>
        <rFont val="Verdana"/>
        <family val="2"/>
      </rPr>
      <t xml:space="preserve"> from the date of handing over of site for carrying – out works, by the Chief Engineer/Construction/YTPS</t>
    </r>
  </si>
  <si>
    <t xml:space="preserve">M/s. KSL Technocrats,
21-1-186, Nehru Nagar,
Palvancha, Badradri Kothagudem-507 115.
Ph. No: 8008595197,9440354123
Email  : ksl_technocrats@yahoo.co.in,
</t>
  </si>
  <si>
    <t xml:space="preserve">Electrification Works of Service Building for Stage-I (Units-1 &amp; 2) at YTPS (5X800MW) </t>
  </si>
  <si>
    <t>17.04.2025</t>
  </si>
  <si>
    <t>Being commenced</t>
  </si>
  <si>
    <t>Not Scheduled</t>
  </si>
  <si>
    <t>FY:2024-25</t>
  </si>
  <si>
    <t>FY:2025-26</t>
  </si>
  <si>
    <t>FY:2026-27</t>
  </si>
  <si>
    <t>FY:2027-28</t>
  </si>
  <si>
    <t>Period of Outage                (in Hours)</t>
  </si>
  <si>
    <t>AOH</t>
  </si>
  <si>
    <t>NIL</t>
  </si>
  <si>
    <t>Unit - 2 / YTPS(800MW)</t>
  </si>
  <si>
    <t xml:space="preserve">     01-12-2025 to    20-12-2025</t>
  </si>
  <si>
    <t xml:space="preserve">      16-07-2027 to      04-08-2027</t>
  </si>
  <si>
    <t>Enclosed</t>
  </si>
  <si>
    <t>Unit -2 (800MW) of YTPS Forced Outage Details for the Year 2024-25</t>
  </si>
  <si>
    <t>Unit</t>
  </si>
  <si>
    <t>S.No</t>
  </si>
  <si>
    <t xml:space="preserve">TRIPPING </t>
  </si>
  <si>
    <t>Synchronization</t>
  </si>
  <si>
    <t>Duration Hrs:Mts</t>
  </si>
  <si>
    <t>Cause of tripping</t>
  </si>
  <si>
    <t>Time</t>
  </si>
  <si>
    <t>Boiler furnace pressure very high</t>
  </si>
  <si>
    <t>Boiler Re-heater tube leak</t>
  </si>
  <si>
    <t>TDBFP-A Discharge valve problem</t>
  </si>
  <si>
    <t>Boiler tube leak and clinker formation</t>
  </si>
  <si>
    <t>Turbine lube oil pressure very low</t>
  </si>
  <si>
    <t xml:space="preserve">Total </t>
  </si>
  <si>
    <t>AOH: Annual Overhaul</t>
  </si>
  <si>
    <t>April</t>
  </si>
  <si>
    <t>Office Equipment, Furniture &amp; Fixtures and Vehicles</t>
  </si>
  <si>
    <t>Plant Equipment</t>
  </si>
  <si>
    <t>Office Equipment</t>
  </si>
  <si>
    <t>Furniture and Fixtures</t>
  </si>
  <si>
    <t>Vehicles</t>
  </si>
  <si>
    <t>As on COD of Unit-2 i.e., 25.01.2025</t>
  </si>
  <si>
    <t>Non-Tariff Income Considered as Zero</t>
  </si>
  <si>
    <t>5X800MW</t>
  </si>
  <si>
    <t>Unit-2</t>
  </si>
  <si>
    <t>Non-Pit Head</t>
  </si>
  <si>
    <t>FY: 2024-25</t>
  </si>
  <si>
    <t>FY: 2025-26</t>
  </si>
  <si>
    <t>FY: 2026-27</t>
  </si>
  <si>
    <t>FY: 2027-28</t>
  </si>
  <si>
    <t>FY: 2028-29</t>
  </si>
  <si>
    <t>Telangana State Power Generation Corporation Limited</t>
  </si>
  <si>
    <t>Opening quantity of oil</t>
  </si>
  <si>
    <t>Rs.in Crs</t>
  </si>
  <si>
    <t>Quantity of oil suppllied by the oil company</t>
  </si>
  <si>
    <t>Adjustment in oil quantity supplied by the oil company</t>
  </si>
  <si>
    <t>oil supplied by oil company (3+4)</t>
  </si>
  <si>
    <t>Net oil supplied</t>
  </si>
  <si>
    <t>Amount charged by oil company</t>
  </si>
  <si>
    <t>Adjustment in amount charged by the oil company</t>
  </si>
  <si>
    <t>Adjustment in amount charged by the oil transporter</t>
  </si>
  <si>
    <t>Cost of diesel in transporting oil through MGR system, if
applicable</t>
  </si>
  <si>
    <t>Total amount charged for oil supplied including transportation (11+16)</t>
  </si>
  <si>
    <t>Landed cost of oil (2+17)/(1+7)</t>
  </si>
  <si>
    <t>Rs./KL</t>
  </si>
  <si>
    <t>Weighted average cost of oil for preceding three months</t>
  </si>
  <si>
    <t xml:space="preserve">GCV of Domestic Oil of the opening Oil stock as per bill of Oil Company
</t>
  </si>
  <si>
    <t>kcal/litre</t>
  </si>
  <si>
    <t>GCV of Domestic Oil supplied as per bill of Oil Company</t>
  </si>
  <si>
    <t xml:space="preserve">GCV of Imported Oil of the opening stock as per bill Oil Company 
</t>
  </si>
  <si>
    <t>GCV of Imported Oil supplied as per bill Oil Company</t>
  </si>
  <si>
    <t>Weighted average GCV of Oil as Billed</t>
  </si>
  <si>
    <t xml:space="preserve">GCV of Domestic Oil of the opening stock as received at Station
</t>
  </si>
  <si>
    <t>GCV of Domestic Oil supplied as received at Station</t>
  </si>
  <si>
    <t xml:space="preserve">GCV of Imported Oil of opening stock as received at Station
</t>
  </si>
  <si>
    <t>GCV of Imported Oil of opening stock as received at Station</t>
  </si>
  <si>
    <t>Weighted average GCV of Oil as Received</t>
  </si>
  <si>
    <t>Unit-3</t>
  </si>
  <si>
    <t>Unit-4</t>
  </si>
  <si>
    <t>Unit-5</t>
  </si>
  <si>
    <t>June</t>
  </si>
  <si>
    <t>Note: 1.The Normative values of Auxiliary Consumption, Gross Station Heat Rate and secondary fuel oil consumption are considered.</t>
  </si>
  <si>
    <t xml:space="preserve">2. The Landed Cost of Coal and Oil escalated by 2% from 2025-26 year on year </t>
  </si>
  <si>
    <t xml:space="preserve"> Other Civil Works</t>
  </si>
  <si>
    <t>Other Civil Works</t>
  </si>
  <si>
    <t>Project Cost as on 31.03.2025: Rs.36,131.99 Cr.</t>
  </si>
  <si>
    <t>Date of Commercial Operation of the Station: Unit-II: 25.01.2025</t>
  </si>
  <si>
    <t>REC</t>
  </si>
  <si>
    <t>PFC</t>
  </si>
  <si>
    <t>HUDCO</t>
  </si>
  <si>
    <t>Loan to be tied-up</t>
  </si>
  <si>
    <t>80% : 20%</t>
  </si>
  <si>
    <t>78.65% : 21.35%</t>
  </si>
  <si>
    <t>Financial Package as on 31.03.2025</t>
  </si>
  <si>
    <t>TELANGANA  POWER GENERATION CORPORATION LIMITED</t>
  </si>
  <si>
    <t>(Rs. in Crs.)</t>
  </si>
  <si>
    <t>Loan-1</t>
  </si>
  <si>
    <t>Loan-2</t>
  </si>
  <si>
    <t>Loan-3</t>
  </si>
  <si>
    <t>Loan-4</t>
  </si>
  <si>
    <t>Loan-5</t>
  </si>
  <si>
    <t>REC Ltd.,</t>
  </si>
  <si>
    <t>PFC Ltd.,</t>
  </si>
  <si>
    <t>INR</t>
  </si>
  <si>
    <t>Amount of Gross Loan drawn upto COD (Rs. Crore) /31.03.25</t>
  </si>
  <si>
    <t>Floating</t>
  </si>
  <si>
    <t>-</t>
  </si>
  <si>
    <t>NO</t>
  </si>
  <si>
    <t>11 years 3 months</t>
  </si>
  <si>
    <t>7 years 9 months</t>
  </si>
  <si>
    <t>1 year 9 months</t>
  </si>
  <si>
    <t>2 years</t>
  </si>
  <si>
    <t>28.12.15</t>
  </si>
  <si>
    <t>31.03.18</t>
  </si>
  <si>
    <t>30.03.2024</t>
  </si>
  <si>
    <t>15 years</t>
  </si>
  <si>
    <t>30.06.2027</t>
  </si>
  <si>
    <t>15.01.2026</t>
  </si>
  <si>
    <t>Quarterly</t>
  </si>
  <si>
    <t>Monthly</t>
  </si>
  <si>
    <t>Base Exchange Rate15</t>
  </si>
  <si>
    <t>Not applicable</t>
  </si>
  <si>
    <t>8 Where there is more than one drawal/repayment for a loan, the date &amp; amount of each drawal/repayement may also be given seperately</t>
  </si>
  <si>
    <t xml:space="preserve">11 Base exchange rate means the exchange rate prevailing as on COD </t>
  </si>
  <si>
    <t>TELANGANA POWER GENERATION CORPORATION LIMITED</t>
  </si>
  <si>
    <t>FORM 19.7-Phasing of Expenditure, Debt and Equity up to COD</t>
  </si>
  <si>
    <t>Acutal As executed</t>
  </si>
  <si>
    <t>REC Loan</t>
  </si>
  <si>
    <t>PFC Loan No. 37101002</t>
  </si>
  <si>
    <t>PFC Loan No. 37101003</t>
  </si>
  <si>
    <t>Total Loan Drawl</t>
  </si>
  <si>
    <t>2015-16</t>
  </si>
  <si>
    <t>April-June(Q1)</t>
  </si>
  <si>
    <t>July-September(Q2)</t>
  </si>
  <si>
    <t>October-December(Q3)</t>
  </si>
  <si>
    <t>January-March(Q4)</t>
  </si>
  <si>
    <t>Sub-Total</t>
  </si>
  <si>
    <t>2016-17</t>
  </si>
  <si>
    <t>2017-2018</t>
  </si>
  <si>
    <t>2018-2019</t>
  </si>
  <si>
    <t>2019-2020</t>
  </si>
  <si>
    <t>2020-2021</t>
  </si>
  <si>
    <t>2021-2022</t>
  </si>
  <si>
    <t>2022-2023</t>
  </si>
  <si>
    <t>2023-2024</t>
  </si>
  <si>
    <t>Debt Portion                                                                                                                                                                                                Rs. in Cr.</t>
  </si>
  <si>
    <t>The Details are attached as Annexure-A</t>
  </si>
  <si>
    <t>Closing Balance of  Loan</t>
  </si>
  <si>
    <t>FY __</t>
  </si>
  <si>
    <t>FY ___</t>
  </si>
  <si>
    <t>FY__</t>
  </si>
  <si>
    <t>Note: The details furnished in this Form shall be duly certified by the Auditor</t>
  </si>
  <si>
    <t>days</t>
  </si>
  <si>
    <t>Return on Equity Based on actual/expected COD</t>
  </si>
  <si>
    <t>Form 11: Fuel Details for computation of Energy Charge Rate (Coal)</t>
  </si>
  <si>
    <t>Form 11: Fuel Details for computation of Energy Charge Rate (Oil)</t>
  </si>
  <si>
    <t>For FY 2024-25 O&amp;M Expenses computed as per the no. of days unit in service after COD.</t>
  </si>
  <si>
    <t>Form 13: Sales                                                                                                                                                                      (Only Unit-2 Energy)</t>
  </si>
  <si>
    <t>Payables for Fuels</t>
  </si>
  <si>
    <t>In case actual availability is less or more than normative value, the modification in the formula need to be done accordingly.</t>
  </si>
  <si>
    <t>Unit-2 of Yadadri Thermal Power Station (5X800 MW)</t>
  </si>
  <si>
    <t>5X800 MW YADADRI THERMAL POWER STATION (YTPS)</t>
  </si>
  <si>
    <t>PO</t>
  </si>
  <si>
    <t>Expenditure as on 25.01.2025</t>
  </si>
  <si>
    <t>WBS element</t>
  </si>
  <si>
    <t>Unit-1</t>
  </si>
  <si>
    <t>T-0012.01</t>
  </si>
  <si>
    <t>t-0012.02</t>
  </si>
  <si>
    <t>T-0012.10</t>
  </si>
  <si>
    <t>ERV&amp;CDV</t>
  </si>
  <si>
    <t>Others (common for all units)</t>
  </si>
  <si>
    <t>t-0012.03</t>
  </si>
  <si>
    <t>t-0012.04</t>
  </si>
  <si>
    <t>t-0012.05</t>
  </si>
  <si>
    <t>t-0012.20</t>
  </si>
  <si>
    <t>T-0012.09&amp;
T-0012.06</t>
  </si>
  <si>
    <t>t-0012.07</t>
  </si>
  <si>
    <t>t-0012.21</t>
  </si>
  <si>
    <t xml:space="preserve">U1: 30.06.2025
U2: 25.01.2025
U3; Oct-2025
U4:Aug-2025
 U5: Feb-2026
</t>
  </si>
  <si>
    <t xml:space="preserve"> Yadadri Thermal Power Station (5X800 MW)</t>
  </si>
  <si>
    <t>Relevant Clause of the TGERC MYT Regulation, 2023 under which the capitalisation has been claimed</t>
  </si>
  <si>
    <t>Equipment cost including spares and ETC (Erection, Testing &amp; Commissioning) and freight including taxes</t>
  </si>
  <si>
    <t xml:space="preserve">E&amp;M system including Erection , Testing &amp; Commisioning </t>
  </si>
  <si>
    <t>Civil Works (Hydraulic Works)</t>
  </si>
  <si>
    <t>Vehicles (locomotives)</t>
  </si>
  <si>
    <t>Office Equipment (HMI) (computers)</t>
  </si>
  <si>
    <t>T-0012.02</t>
  </si>
  <si>
    <t>Civil works including taxes (EPC)</t>
  </si>
  <si>
    <t>Civil System</t>
  </si>
  <si>
    <t xml:space="preserve">Buildings </t>
  </si>
  <si>
    <t xml:space="preserve">Civil Works </t>
  </si>
  <si>
    <t>T-0012.03</t>
  </si>
  <si>
    <t>T-0012.04</t>
  </si>
  <si>
    <t>Civil works including taxes- Non EPC</t>
  </si>
  <si>
    <t xml:space="preserve">Vehicles </t>
  </si>
  <si>
    <t>Office Equipment (Computers)</t>
  </si>
  <si>
    <t xml:space="preserve">Office Equipment </t>
  </si>
  <si>
    <t>T-0012.06</t>
  </si>
  <si>
    <t>T-0012.20</t>
  </si>
  <si>
    <t xml:space="preserve"> Establishment cost (EDC)</t>
  </si>
  <si>
    <t>T-0012.05 &amp; T-0012.09</t>
  </si>
  <si>
    <t>T-0012.20.06</t>
  </si>
  <si>
    <t>T-0012.07</t>
  </si>
  <si>
    <t>T-0012.21</t>
  </si>
  <si>
    <t>Capital cost Including IDC &amp; Financing Charges</t>
  </si>
  <si>
    <t xml:space="preserve">Components of tariff </t>
  </si>
  <si>
    <t>Relevant sales &amp; load/demand data for revenue calculation</t>
  </si>
  <si>
    <t>Full year revenue (Rs. Crore)</t>
  </si>
  <si>
    <t>Fixed / Capacity Charges (Rs. Crore / year)</t>
  </si>
  <si>
    <t>Energy Charges (Rs./kWh)</t>
  </si>
  <si>
    <t xml:space="preserve">Any Other Charges (specify part name and unit) </t>
  </si>
  <si>
    <t>Fuel surcharge per unit, if any (Rs./kWh)</t>
  </si>
  <si>
    <t>Sales in MU</t>
  </si>
  <si>
    <t>Share of Capacity (MW/%)</t>
  </si>
  <si>
    <t>Item 3 (specify)</t>
  </si>
  <si>
    <t xml:space="preserve">Revenue from Fixed / Capacity Charges </t>
  </si>
  <si>
    <t>Revenue from Energy Charges</t>
  </si>
  <si>
    <t>Revenue from Any Other Charge (specify part name)</t>
  </si>
  <si>
    <t>Revenue from Fuel Surcharge</t>
  </si>
  <si>
    <t>Normative Availability (%)</t>
  </si>
  <si>
    <t>Availability during the month (%)</t>
  </si>
  <si>
    <t>Cumulative Availability (%)</t>
  </si>
  <si>
    <t>Actual PLF during the month (%)</t>
  </si>
  <si>
    <t>Cumulative PLF (%)</t>
  </si>
  <si>
    <t>Gross  Generation (MU)</t>
  </si>
  <si>
    <t>Auxiliary Consumption (MU)</t>
  </si>
  <si>
    <t>Net Generation (MU)</t>
  </si>
  <si>
    <t>Generation above target PLF (MU)</t>
  </si>
  <si>
    <t>Variable Charges Per Unit</t>
  </si>
  <si>
    <t>Approved Fixed Charges</t>
  </si>
  <si>
    <t>Fuel Surcharge</t>
  </si>
  <si>
    <t>Fixed Charges During Month</t>
  </si>
  <si>
    <t>Energy Charges Amount</t>
  </si>
  <si>
    <t>Amount of Fuel Surcharge Adjustment</t>
  </si>
  <si>
    <t>Incentive Amount</t>
  </si>
  <si>
    <t>Revenue from sale of electricity</t>
  </si>
  <si>
    <t>Other recoveries/adjustments</t>
  </si>
  <si>
    <t>………</t>
  </si>
  <si>
    <t>Total Revenue</t>
  </si>
  <si>
    <t>Total Revenue as per Audited Accounts</t>
  </si>
  <si>
    <t>Form 14: Revenue from Sale of Electricity, YTPS, Unit-2</t>
  </si>
  <si>
    <t>Beneficiary 1  TGSPDCL- 70.55%</t>
  </si>
  <si>
    <t>Beneficiary 1  TGNPDCL- 29.45%</t>
  </si>
  <si>
    <t>Form 15: Revenue Reconciliation  YTPS - Unit-2</t>
  </si>
  <si>
    <t>Rs. in Cr.</t>
  </si>
  <si>
    <t>Whether awarded through ICB/DCB/ Departmentally</t>
  </si>
  <si>
    <r>
      <t xml:space="preserve">15 weeks </t>
    </r>
    <r>
      <rPr>
        <sz val="10"/>
        <rFont val="Verdana"/>
        <family val="2"/>
      </rPr>
      <t xml:space="preserve"> from the date of handing over of site for carrying – out works, by the Chief Engineer/ Construction/YTPS</t>
    </r>
  </si>
  <si>
    <t xml:space="preserve">Rs.93.44     (exc taxes)
Rs.110.26    (inc taxes)
</t>
  </si>
  <si>
    <t xml:space="preserve">Rs.93.44       (exc taxes)
Rs.110.26      (inc taxes)
</t>
  </si>
  <si>
    <t>7.46           (Exc taxes)
8.79            (inc taxes)</t>
  </si>
  <si>
    <t>7.46 (Exc taxes)
8.79 (inc taxes)</t>
  </si>
  <si>
    <t>0.25 (Excl. taxes)         0.29 (inclusive taxes)</t>
  </si>
  <si>
    <t>0.25          (Excl. taxes)         0.29     (inclusive taxes)</t>
  </si>
  <si>
    <t>0.28 (excl.taxes)                     0.34 (inclusive of taxes)</t>
  </si>
  <si>
    <t>17.66         (excl taxes)/          20.83 (incl.Taxes)</t>
  </si>
  <si>
    <t>Rehabilitation &amp; Resettlement  (R&amp;R)</t>
  </si>
  <si>
    <t>Plant &amp; Equipment (BTG)</t>
  </si>
  <si>
    <t>ESP,ID,FD,PA Fans &amp; Other Boiler Auxiliaries</t>
  </si>
  <si>
    <t>Station C&amp;I + OCAMMS</t>
  </si>
  <si>
    <t>NDCT (Elec &amp;Mech. Supply Items)</t>
  </si>
  <si>
    <t>CHP Other Mechanical Works (DE/DS System)</t>
  </si>
  <si>
    <t>Vibration Isolation Springs (TG &amp; Auxiliary Equip)</t>
  </si>
  <si>
    <t>NSPBD (Bus Ducts)</t>
  </si>
  <si>
    <t>Control &amp; Instrumentation (C &amp; I)   Package</t>
  </si>
  <si>
    <t>3.0</t>
  </si>
  <si>
    <t>Initial spares</t>
  </si>
  <si>
    <t>4.10</t>
  </si>
  <si>
    <t>Construction &amp; Pre-Commissioning Expenses</t>
  </si>
  <si>
    <t>Interest During Construction (IDC) Capitalised in above cost</t>
  </si>
  <si>
    <t>Financing Charges (FC)</t>
  </si>
  <si>
    <t>M/s BHEL</t>
  </si>
  <si>
    <t xml:space="preserve">M/s TCE </t>
  </si>
  <si>
    <t>As  on COD of Unit-Name</t>
  </si>
  <si>
    <t>As  on COD of Unit-…</t>
  </si>
  <si>
    <t>Foreign Currency Component (Specify Currency)</t>
  </si>
  <si>
    <t>(c) = (a) + (b)</t>
  </si>
  <si>
    <t>(f) = (d) + (e)</t>
  </si>
  <si>
    <t>(i) = (g) + (h)</t>
  </si>
  <si>
    <t>(j) = (d) + (g)</t>
  </si>
  <si>
    <t>(k) = (e) + (h)</t>
  </si>
  <si>
    <t>(l) = (j) + (k)</t>
  </si>
  <si>
    <t>(m) = (l) - (c)</t>
  </si>
  <si>
    <t>WBS Element</t>
  </si>
  <si>
    <t>Unit -2 of Yadadri Thermal Power Station (5X800 MW)</t>
  </si>
  <si>
    <t>FY 2024--25</t>
  </si>
  <si>
    <t>Rs. in Crore</t>
  </si>
  <si>
    <t xml:space="preserve"> Establishment cost (EDC) including startup fuel</t>
  </si>
  <si>
    <t>Form 5:  Interest and finance charges on loan</t>
  </si>
  <si>
    <t>Normative Loan</t>
  </si>
  <si>
    <t>Cumulative Repayment till the year</t>
  </si>
  <si>
    <t>Opening Balance of Net Normative Loan</t>
  </si>
  <si>
    <t>Less: Reduction of Normative Loan due to retirement or replacement of assets</t>
  </si>
  <si>
    <r>
      <t>Addition of Normative Loan due to capitalisation during the year</t>
    </r>
    <r>
      <rPr>
        <sz val="10"/>
        <rFont val="Arial"/>
        <family val="2"/>
      </rPr>
      <t>1</t>
    </r>
  </si>
  <si>
    <t>Repayment of Normative loan during the year</t>
  </si>
  <si>
    <t>Closing Balance of Net Normative Loan</t>
  </si>
  <si>
    <t>Closing Balance of Gross Normative Loan</t>
  </si>
  <si>
    <t>Average Balance of Net Normative Loan</t>
  </si>
  <si>
    <t>Weighted average Rate of Interest on actual Loans (%)</t>
  </si>
  <si>
    <t>Interest and Finance Charges as per actual/expected COD</t>
  </si>
  <si>
    <t>Actual loan portfolio</t>
  </si>
  <si>
    <t>Loan 1-REC</t>
  </si>
  <si>
    <t>Addition of Loan during the year</t>
  </si>
  <si>
    <t>Loan Repayment during the year</t>
  </si>
  <si>
    <t>Closing Balance of Loan</t>
  </si>
  <si>
    <t>Average Loan Balance</t>
  </si>
  <si>
    <t>Applicable Interest Rate (%)</t>
  </si>
  <si>
    <t>Loan 2-PFC</t>
  </si>
  <si>
    <t>…......</t>
  </si>
  <si>
    <t>Loan 3-PFC</t>
  </si>
  <si>
    <t>Loan -4-HUDCO</t>
  </si>
  <si>
    <t>Loan -5-HUDCO</t>
  </si>
  <si>
    <t xml:space="preserve">Opening Balance of Gross Normative Loan </t>
  </si>
  <si>
    <t xml:space="preserve">Loan 1 </t>
  </si>
  <si>
    <t>Form 3.2:  Financing of  Capitalisation</t>
  </si>
  <si>
    <t>Yadadri Thermal Power Station (5X800 MW)</t>
  </si>
  <si>
    <t>Unit-2 of YTPS (5x800MW)</t>
  </si>
  <si>
    <t>As  on COD of Unit-2(25.012025)</t>
  </si>
  <si>
    <t>2nd Time Extension</t>
  </si>
  <si>
    <t>3rd Time Extension</t>
  </si>
  <si>
    <t>31.03.2025</t>
  </si>
  <si>
    <t>Total Unit Rate</t>
  </si>
  <si>
    <t>ü</t>
  </si>
</sst>
</file>

<file path=xl/styles.xml><?xml version="1.0" encoding="utf-8"?>
<styleSheet xmlns="http://schemas.openxmlformats.org/spreadsheetml/2006/main">
  <numFmts count="16">
    <numFmt numFmtId="43" formatCode="_ * #,##0.00_ ;_ * \-#,##0.00_ ;_ * &quot;-&quot;??_ ;_ @_ "/>
    <numFmt numFmtId="164" formatCode="_(* #,##0.00_);_(* \(#,##0.00\);_(* &quot;-&quot;??_);_(@_)"/>
    <numFmt numFmtId="165" formatCode="_-* #,##0.00_-;\-* #,##0.00_-;_-* &quot;-&quot;??_-;_-@_-"/>
    <numFmt numFmtId="166" formatCode="0.00_)"/>
    <numFmt numFmtId="167" formatCode="&quot;ß&quot;#,##0.00_);\(&quot;ß&quot;#,##0.00\)"/>
    <numFmt numFmtId="168" formatCode="[$-409]d\-mmm\-yy;@"/>
    <numFmt numFmtId="169" formatCode="0.0"/>
    <numFmt numFmtId="170" formatCode="0.00000"/>
    <numFmt numFmtId="171" formatCode="0.0000"/>
    <numFmt numFmtId="172" formatCode="0.000000000000000%"/>
    <numFmt numFmtId="173" formatCode="0.000"/>
    <numFmt numFmtId="174" formatCode="0.000000"/>
    <numFmt numFmtId="175" formatCode="0.00000000"/>
    <numFmt numFmtId="176" formatCode="0.000%"/>
    <numFmt numFmtId="177" formatCode="0.0000000"/>
    <numFmt numFmtId="178" formatCode="[$-409]d\-mmm\-yyyy;@"/>
  </numFmts>
  <fonts count="6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Arial"/>
      <family val="2"/>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name val="Arial"/>
      <family val="2"/>
    </font>
    <font>
      <sz val="11"/>
      <color theme="1"/>
      <name val="Calibri"/>
      <family val="2"/>
      <scheme val="minor"/>
    </font>
    <font>
      <sz val="11"/>
      <color indexed="8"/>
      <name val="Calibri"/>
      <family val="2"/>
    </font>
    <font>
      <sz val="11"/>
      <color theme="1"/>
      <name val="Calibri"/>
      <family val="2"/>
    </font>
    <font>
      <sz val="10"/>
      <name val="Arial"/>
      <family val="2"/>
    </font>
    <font>
      <b/>
      <sz val="11"/>
      <name val="Arial"/>
      <family val="2"/>
    </font>
    <font>
      <i/>
      <sz val="11"/>
      <name val="Arial"/>
      <family val="2"/>
    </font>
    <font>
      <sz val="11"/>
      <color indexed="8"/>
      <name val="Arial"/>
      <family val="2"/>
    </font>
    <font>
      <b/>
      <sz val="11"/>
      <color indexed="8"/>
      <name val="Arial"/>
      <family val="2"/>
    </font>
    <font>
      <vertAlign val="superscript"/>
      <sz val="11"/>
      <name val="Arial"/>
      <family val="2"/>
    </font>
    <font>
      <sz val="11"/>
      <color theme="1"/>
      <name val="Arial"/>
      <family val="2"/>
    </font>
    <font>
      <b/>
      <sz val="11"/>
      <color theme="1"/>
      <name val="Arial"/>
      <family val="2"/>
    </font>
    <font>
      <b/>
      <sz val="11"/>
      <color indexed="9"/>
      <name val="Arial"/>
      <family val="2"/>
    </font>
    <font>
      <b/>
      <sz val="18"/>
      <name val="Arial"/>
      <family val="2"/>
    </font>
    <font>
      <b/>
      <vertAlign val="superscript"/>
      <sz val="11"/>
      <name val="Arial"/>
      <family val="2"/>
    </font>
    <font>
      <b/>
      <u/>
      <sz val="11"/>
      <name val="Arial"/>
      <family val="2"/>
    </font>
    <font>
      <b/>
      <sz val="11"/>
      <color rgb="FFFF0000"/>
      <name val="Arial"/>
      <family val="2"/>
    </font>
    <font>
      <sz val="10"/>
      <name val="Arial"/>
      <family val="2"/>
    </font>
    <font>
      <b/>
      <sz val="11"/>
      <color theme="1"/>
      <name val="Calibri"/>
      <family val="2"/>
      <scheme val="minor"/>
    </font>
    <font>
      <b/>
      <sz val="11"/>
      <name val="Calibri"/>
      <family val="2"/>
      <scheme val="minor"/>
    </font>
    <font>
      <b/>
      <sz val="11"/>
      <color rgb="FF000000"/>
      <name val="Calibri"/>
      <family val="2"/>
      <scheme val="minor"/>
    </font>
    <font>
      <sz val="11"/>
      <color rgb="FF000000"/>
      <name val="Calibri"/>
      <family val="2"/>
      <scheme val="minor"/>
    </font>
    <font>
      <i/>
      <sz val="11"/>
      <name val="Calibri"/>
      <family val="2"/>
      <scheme val="minor"/>
    </font>
    <font>
      <sz val="12"/>
      <name val="Calibri"/>
      <family val="2"/>
      <scheme val="minor"/>
    </font>
    <font>
      <sz val="11"/>
      <name val="Calibri"/>
      <family val="2"/>
      <scheme val="minor"/>
    </font>
    <font>
      <b/>
      <sz val="12"/>
      <name val="Calibri"/>
      <family val="2"/>
      <scheme val="minor"/>
    </font>
    <font>
      <sz val="12"/>
      <color theme="1"/>
      <name val="Calibri"/>
      <family val="2"/>
      <scheme val="minor"/>
    </font>
    <font>
      <sz val="9"/>
      <color rgb="FF000000"/>
      <name val="Verdana"/>
      <family val="2"/>
    </font>
    <font>
      <b/>
      <sz val="12"/>
      <name val="Verdana"/>
      <family val="2"/>
    </font>
    <font>
      <sz val="12"/>
      <name val="Verdana"/>
      <family val="2"/>
    </font>
    <font>
      <sz val="11"/>
      <name val="Verdana"/>
      <family val="2"/>
    </font>
    <font>
      <b/>
      <sz val="10"/>
      <name val="Arial"/>
      <family val="2"/>
    </font>
    <font>
      <b/>
      <sz val="14"/>
      <name val="Arial"/>
      <family val="2"/>
    </font>
    <font>
      <sz val="10"/>
      <name val="Verdana"/>
      <family val="2"/>
    </font>
    <font>
      <sz val="10"/>
      <color rgb="FF000000"/>
      <name val="Verdana"/>
      <family val="2"/>
    </font>
    <font>
      <b/>
      <sz val="10"/>
      <name val="Verdana"/>
      <family val="2"/>
    </font>
    <font>
      <b/>
      <sz val="13"/>
      <name val="Arial"/>
      <family val="2"/>
    </font>
    <font>
      <sz val="14"/>
      <name val="Arial"/>
      <family val="2"/>
    </font>
    <font>
      <sz val="13"/>
      <name val="Arial"/>
      <family val="2"/>
    </font>
    <font>
      <sz val="16"/>
      <color theme="1"/>
      <name val="Arial"/>
      <family val="2"/>
    </font>
    <font>
      <b/>
      <sz val="12"/>
      <name val="Arial"/>
      <family val="2"/>
    </font>
    <font>
      <b/>
      <sz val="12"/>
      <name val="+mn-lt"/>
    </font>
    <font>
      <b/>
      <sz val="12"/>
      <name val="Calibri"/>
      <family val="2"/>
    </font>
    <font>
      <b/>
      <sz val="13"/>
      <name val="+mn-lt"/>
    </font>
    <font>
      <b/>
      <sz val="10"/>
      <name val="+mn-lt"/>
    </font>
    <font>
      <sz val="14"/>
      <color theme="1"/>
      <name val="Arial"/>
      <family val="2"/>
    </font>
    <font>
      <b/>
      <sz val="14"/>
      <color theme="1"/>
      <name val="Arial"/>
      <family val="2"/>
    </font>
    <font>
      <sz val="12"/>
      <name val="Tahoma"/>
      <family val="2"/>
    </font>
    <font>
      <sz val="11"/>
      <color rgb="FFFF0000"/>
      <name val="Arial"/>
      <family val="2"/>
    </font>
    <font>
      <sz val="12"/>
      <name val="Wingdings"/>
      <charset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rgb="FFFCD5B5"/>
        <bgColor indexed="64"/>
      </patternFill>
    </fill>
    <fill>
      <patternFill patternType="solid">
        <fgColor rgb="FFE9F1F5"/>
        <bgColor indexed="64"/>
      </patternFill>
    </fill>
    <fill>
      <patternFill patternType="solid">
        <fgColor rgb="FFFFFFFF"/>
        <bgColor indexed="64"/>
      </patternFill>
    </fill>
  </fills>
  <borders count="40">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23">
    <xf numFmtId="0" fontId="0" fillId="0" borderId="0"/>
    <xf numFmtId="0" fontId="10" fillId="0" borderId="0" applyNumberFormat="0" applyFill="0" applyBorder="0" applyAlignment="0" applyProtection="0"/>
    <xf numFmtId="0" fontId="11" fillId="0" borderId="1"/>
    <xf numFmtId="0" fontId="11" fillId="0" borderId="1"/>
    <xf numFmtId="38" fontId="12" fillId="2" borderId="0" applyNumberFormat="0" applyBorder="0" applyAlignment="0" applyProtection="0"/>
    <xf numFmtId="0" fontId="13" fillId="0" borderId="2" applyNumberFormat="0" applyAlignment="0" applyProtection="0">
      <alignment horizontal="left" vertical="center"/>
    </xf>
    <xf numFmtId="0" fontId="13" fillId="0" borderId="3">
      <alignment horizontal="left" vertical="center"/>
    </xf>
    <xf numFmtId="10" fontId="12" fillId="3" borderId="4" applyNumberFormat="0" applyBorder="0" applyAlignment="0" applyProtection="0"/>
    <xf numFmtId="37" fontId="14" fillId="0" borderId="0"/>
    <xf numFmtId="166" fontId="15" fillId="0" borderId="0"/>
    <xf numFmtId="0" fontId="9" fillId="0" borderId="0"/>
    <xf numFmtId="0" fontId="9" fillId="0" borderId="0"/>
    <xf numFmtId="0" fontId="7" fillId="0" borderId="0"/>
    <xf numFmtId="0" fontId="7" fillId="0" borderId="0"/>
    <xf numFmtId="0" fontId="9" fillId="0" borderId="0">
      <alignment vertical="center"/>
    </xf>
    <xf numFmtId="167" fontId="9" fillId="0" borderId="0" applyFont="0" applyFill="0" applyBorder="0" applyAlignment="0" applyProtection="0"/>
    <xf numFmtId="10" fontId="9" fillId="0" borderId="0" applyFont="0" applyFill="0" applyBorder="0" applyAlignment="0" applyProtection="0"/>
    <xf numFmtId="0" fontId="9" fillId="0" borderId="0"/>
    <xf numFmtId="0" fontId="17" fillId="0" borderId="0"/>
    <xf numFmtId="164" fontId="17" fillId="0" borderId="0" applyFont="0" applyFill="0" applyBorder="0" applyAlignment="0" applyProtection="0"/>
    <xf numFmtId="9" fontId="17" fillId="0" borderId="0" applyFont="0" applyFill="0" applyBorder="0" applyAlignment="0" applyProtection="0"/>
    <xf numFmtId="165" fontId="18" fillId="0" borderId="0" applyFont="0" applyFill="0" applyBorder="0" applyAlignment="0" applyProtection="0"/>
    <xf numFmtId="0" fontId="19" fillId="0" borderId="0"/>
    <xf numFmtId="9" fontId="18" fillId="0" borderId="0" applyFont="0" applyFill="0" applyBorder="0" applyAlignment="0" applyProtection="0"/>
    <xf numFmtId="9" fontId="20"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9" fillId="0" borderId="0" applyFont="0" applyFill="0" applyBorder="0" applyAlignment="0" applyProtection="0"/>
    <xf numFmtId="43" fontId="1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17" fillId="0" borderId="0"/>
    <xf numFmtId="0" fontId="18" fillId="0" borderId="0"/>
    <xf numFmtId="0" fontId="18" fillId="0" borderId="0"/>
    <xf numFmtId="0" fontId="17" fillId="0" borderId="0"/>
    <xf numFmtId="0" fontId="9" fillId="0" borderId="0">
      <alignment vertical="center"/>
    </xf>
    <xf numFmtId="0" fontId="8"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9" fillId="0" borderId="0" applyFont="0" applyFill="0" applyBorder="0" applyAlignment="0" applyProtection="0"/>
    <xf numFmtId="9" fontId="18" fillId="0" borderId="0" applyFont="0" applyFill="0" applyBorder="0" applyAlignment="0" applyProtection="0"/>
    <xf numFmtId="164" fontId="20"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9" fillId="0" borderId="0"/>
    <xf numFmtId="0" fontId="9" fillId="0" borderId="0"/>
    <xf numFmtId="0" fontId="7" fillId="0" borderId="0"/>
    <xf numFmtId="0" fontId="9" fillId="0" borderId="0" applyBorder="0" applyProtection="0"/>
    <xf numFmtId="167" fontId="18" fillId="0" borderId="0" applyFont="0" applyFill="0" applyBorder="0" applyAlignment="0" applyProtection="0"/>
    <xf numFmtId="0" fontId="9" fillId="0" borderId="0"/>
    <xf numFmtId="0" fontId="9" fillId="0" borderId="0"/>
    <xf numFmtId="0" fontId="9" fillId="0" borderId="0"/>
    <xf numFmtId="9" fontId="9" fillId="0" borderId="0" applyFont="0" applyFill="0" applyBorder="0" applyAlignment="0" applyProtection="0"/>
    <xf numFmtId="0" fontId="6" fillId="0" borderId="0"/>
    <xf numFmtId="164" fontId="6" fillId="0" borderId="0" applyFont="0" applyFill="0" applyBorder="0" applyAlignment="0" applyProtection="0"/>
    <xf numFmtId="165" fontId="9" fillId="0" borderId="0" applyFont="0" applyFill="0" applyBorder="0" applyAlignment="0" applyProtection="0"/>
    <xf numFmtId="164"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0" fontId="5" fillId="0" borderId="0"/>
    <xf numFmtId="0" fontId="5" fillId="0" borderId="0"/>
    <xf numFmtId="0" fontId="4" fillId="0" borderId="0"/>
    <xf numFmtId="0" fontId="3" fillId="0" borderId="0"/>
    <xf numFmtId="43" fontId="33" fillId="0" borderId="0" applyFont="0" applyFill="0" applyBorder="0" applyAlignment="0" applyProtection="0"/>
    <xf numFmtId="0" fontId="9"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9" fontId="9" fillId="0" borderId="0" applyFont="0" applyFill="0" applyBorder="0" applyAlignment="0" applyProtection="0"/>
    <xf numFmtId="0" fontId="2" fillId="0" borderId="0"/>
    <xf numFmtId="0" fontId="2" fillId="0" borderId="0"/>
    <xf numFmtId="164" fontId="9" fillId="0" borderId="0" applyFont="0" applyFill="0" applyBorder="0" applyAlignment="0" applyProtection="0"/>
    <xf numFmtId="9" fontId="9"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9" fillId="0" borderId="0" applyFont="0" applyFill="0" applyBorder="0" applyAlignment="0" applyProtection="0"/>
    <xf numFmtId="176" fontId="9"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729">
    <xf numFmtId="0" fontId="0" fillId="0" borderId="0" xfId="0"/>
    <xf numFmtId="0" fontId="8" fillId="0" borderId="0" xfId="10" applyFont="1" applyAlignment="1">
      <alignment horizontal="center" vertical="center"/>
    </xf>
    <xf numFmtId="0" fontId="16" fillId="0" borderId="4" xfId="14" applyFont="1" applyBorder="1" applyAlignment="1">
      <alignment horizontal="center" vertical="center"/>
    </xf>
    <xf numFmtId="0" fontId="16" fillId="0" borderId="4" xfId="14" applyFont="1" applyBorder="1">
      <alignment vertical="center"/>
    </xf>
    <xf numFmtId="0" fontId="16" fillId="0" borderId="0" xfId="10" applyFont="1"/>
    <xf numFmtId="0" fontId="16" fillId="0" borderId="0" xfId="10" applyFont="1" applyAlignment="1">
      <alignment vertical="center"/>
    </xf>
    <xf numFmtId="0" fontId="8" fillId="0" borderId="0" xfId="14" applyFont="1">
      <alignment vertical="center"/>
    </xf>
    <xf numFmtId="0" fontId="13" fillId="0" borderId="0" xfId="14" applyFont="1" applyAlignment="1">
      <alignment horizontal="right" vertical="center"/>
    </xf>
    <xf numFmtId="0" fontId="8" fillId="0" borderId="4" xfId="14" applyFont="1" applyBorder="1" applyAlignment="1">
      <alignment horizontal="center" vertical="center"/>
    </xf>
    <xf numFmtId="0" fontId="8" fillId="0" borderId="4" xfId="14" applyFont="1" applyBorder="1">
      <alignment vertical="center"/>
    </xf>
    <xf numFmtId="0" fontId="8" fillId="0" borderId="4" xfId="14" applyFont="1" applyBorder="1" applyAlignment="1">
      <alignment vertical="top" wrapText="1"/>
    </xf>
    <xf numFmtId="0" fontId="8" fillId="6" borderId="4" xfId="14" applyFont="1" applyFill="1" applyBorder="1" applyAlignment="1">
      <alignment horizontal="center" vertical="center"/>
    </xf>
    <xf numFmtId="0" fontId="13" fillId="6" borderId="4" xfId="14" applyFont="1" applyFill="1" applyBorder="1">
      <alignment vertical="center"/>
    </xf>
    <xf numFmtId="0" fontId="8" fillId="6" borderId="4" xfId="14" applyFont="1" applyFill="1" applyBorder="1" applyAlignment="1">
      <alignment horizontal="left" vertical="center"/>
    </xf>
    <xf numFmtId="0" fontId="8" fillId="0" borderId="0" xfId="10" applyFont="1"/>
    <xf numFmtId="0" fontId="8" fillId="5" borderId="0" xfId="14" applyFont="1" applyFill="1">
      <alignment vertical="center"/>
    </xf>
    <xf numFmtId="0" fontId="13" fillId="0" borderId="8" xfId="14" applyFont="1" applyBorder="1" applyAlignment="1">
      <alignment horizontal="center" vertical="center"/>
    </xf>
    <xf numFmtId="0" fontId="13" fillId="0" borderId="4" xfId="14" applyFont="1" applyBorder="1" applyAlignment="1">
      <alignment horizontal="center" vertical="center"/>
    </xf>
    <xf numFmtId="0" fontId="16" fillId="0" borderId="0" xfId="14" applyFont="1">
      <alignment vertical="center"/>
    </xf>
    <xf numFmtId="0" fontId="21" fillId="0" borderId="4" xfId="14" applyFont="1" applyBorder="1" applyAlignment="1">
      <alignment horizontal="center" vertical="center"/>
    </xf>
    <xf numFmtId="0" fontId="21" fillId="0" borderId="4" xfId="14" applyFont="1" applyBorder="1" applyAlignment="1">
      <alignment horizontal="center" vertical="center" wrapText="1"/>
    </xf>
    <xf numFmtId="0" fontId="16" fillId="0" borderId="4" xfId="14" applyFont="1" applyBorder="1" applyAlignment="1">
      <alignment horizontal="left" vertical="center"/>
    </xf>
    <xf numFmtId="0" fontId="16" fillId="5" borderId="4" xfId="14" applyFont="1" applyFill="1" applyBorder="1" applyAlignment="1">
      <alignment horizontal="left" vertical="center"/>
    </xf>
    <xf numFmtId="0" fontId="16" fillId="0" borderId="4" xfId="14" applyFont="1" applyBorder="1" applyAlignment="1">
      <alignment vertical="top" wrapText="1"/>
    </xf>
    <xf numFmtId="0" fontId="21" fillId="0" borderId="4" xfId="14" applyFont="1" applyBorder="1">
      <alignment vertical="center"/>
    </xf>
    <xf numFmtId="0" fontId="16" fillId="0" borderId="4" xfId="10" applyFont="1" applyBorder="1" applyAlignment="1">
      <alignment horizontal="center" vertical="center"/>
    </xf>
    <xf numFmtId="0" fontId="16" fillId="0" borderId="4" xfId="10" applyFont="1" applyBorder="1" applyAlignment="1">
      <alignment horizontal="center" vertical="center" wrapText="1"/>
    </xf>
    <xf numFmtId="0" fontId="21" fillId="0" borderId="7" xfId="10" applyFont="1" applyBorder="1" applyAlignment="1">
      <alignment horizontal="center" vertical="center" wrapText="1"/>
    </xf>
    <xf numFmtId="0" fontId="21" fillId="0" borderId="4" xfId="10" applyFont="1" applyBorder="1" applyAlignment="1">
      <alignment horizontal="center" vertical="center"/>
    </xf>
    <xf numFmtId="0" fontId="21" fillId="0" borderId="0" xfId="10" applyFont="1" applyAlignment="1">
      <alignment horizontal="left" vertical="center"/>
    </xf>
    <xf numFmtId="0" fontId="21" fillId="0" borderId="0" xfId="10" applyFont="1" applyAlignment="1">
      <alignment horizontal="right" vertical="center"/>
    </xf>
    <xf numFmtId="0" fontId="21" fillId="0" borderId="0" xfId="14" applyFont="1" applyAlignment="1">
      <alignment horizontal="right" vertical="center"/>
    </xf>
    <xf numFmtId="0" fontId="16" fillId="0" borderId="4" xfId="10" applyFont="1" applyBorder="1" applyAlignment="1">
      <alignment vertical="center"/>
    </xf>
    <xf numFmtId="0" fontId="16" fillId="0" borderId="4" xfId="0" applyFont="1" applyBorder="1" applyAlignment="1">
      <alignment vertical="center"/>
    </xf>
    <xf numFmtId="0" fontId="16" fillId="0" borderId="4" xfId="10" applyFont="1" applyBorder="1" applyAlignment="1">
      <alignment horizontal="left" vertical="center"/>
    </xf>
    <xf numFmtId="0" fontId="21" fillId="0" borderId="4" xfId="10" applyFont="1" applyBorder="1" applyAlignment="1">
      <alignment horizontal="left" vertical="center" wrapText="1"/>
    </xf>
    <xf numFmtId="0" fontId="21" fillId="0" borderId="4" xfId="10" applyFont="1" applyBorder="1" applyAlignment="1">
      <alignment horizontal="center" vertical="center" wrapText="1"/>
    </xf>
    <xf numFmtId="0" fontId="21" fillId="0" borderId="4" xfId="10" applyFont="1" applyBorder="1" applyAlignment="1">
      <alignment horizontal="left" vertical="center"/>
    </xf>
    <xf numFmtId="0" fontId="21" fillId="0" borderId="0" xfId="10" applyFont="1" applyAlignment="1">
      <alignment vertical="center"/>
    </xf>
    <xf numFmtId="0" fontId="21" fillId="0" borderId="0" xfId="14" applyFont="1" applyAlignment="1">
      <alignment horizontal="center" vertical="center"/>
    </xf>
    <xf numFmtId="0" fontId="16" fillId="0" borderId="0" xfId="10" applyFont="1" applyAlignment="1">
      <alignment horizontal="center" vertical="center"/>
    </xf>
    <xf numFmtId="0" fontId="21" fillId="0" borderId="0" xfId="10" applyFont="1" applyAlignment="1">
      <alignment horizontal="center" vertical="center"/>
    </xf>
    <xf numFmtId="0" fontId="21" fillId="0" borderId="0" xfId="14" applyFont="1">
      <alignment vertical="center"/>
    </xf>
    <xf numFmtId="0" fontId="16" fillId="0" borderId="4" xfId="10" applyFont="1" applyBorder="1" applyAlignment="1">
      <alignment horizontal="left" vertical="center" wrapText="1"/>
    </xf>
    <xf numFmtId="0" fontId="21" fillId="0" borderId="0" xfId="14" applyFont="1" applyAlignment="1">
      <alignment horizontal="center" vertical="center" wrapText="1"/>
    </xf>
    <xf numFmtId="0" fontId="21" fillId="0" borderId="4" xfId="10" applyFont="1" applyBorder="1" applyAlignment="1">
      <alignment vertical="center"/>
    </xf>
    <xf numFmtId="0" fontId="16" fillId="0" borderId="4" xfId="10" applyFont="1" applyBorder="1" applyAlignment="1">
      <alignment horizontal="right" vertical="center"/>
    </xf>
    <xf numFmtId="0" fontId="16" fillId="0" borderId="0" xfId="10" applyFont="1" applyAlignment="1">
      <alignment horizontal="left" vertical="center"/>
    </xf>
    <xf numFmtId="0" fontId="16" fillId="0" borderId="0" xfId="10" applyFont="1" applyAlignment="1">
      <alignment horizontal="right" vertical="center"/>
    </xf>
    <xf numFmtId="0" fontId="22" fillId="0" borderId="0" xfId="10" applyFont="1" applyAlignment="1">
      <alignment horizontal="left" vertical="center"/>
    </xf>
    <xf numFmtId="0" fontId="22" fillId="0" borderId="0" xfId="10" applyFont="1" applyAlignment="1">
      <alignment vertical="center"/>
    </xf>
    <xf numFmtId="0" fontId="22" fillId="0" borderId="0" xfId="10" applyFont="1" applyAlignment="1">
      <alignment horizontal="center" vertical="center"/>
    </xf>
    <xf numFmtId="0" fontId="21" fillId="0" borderId="0" xfId="10" applyFont="1" applyAlignment="1">
      <alignment horizontal="left"/>
    </xf>
    <xf numFmtId="0" fontId="21" fillId="0" borderId="0" xfId="10" applyFont="1" applyAlignment="1">
      <alignment horizontal="right"/>
    </xf>
    <xf numFmtId="0" fontId="21" fillId="0" borderId="0" xfId="10" applyFont="1" applyAlignment="1">
      <alignment horizontal="left" vertical="center" wrapText="1"/>
    </xf>
    <xf numFmtId="0" fontId="16" fillId="0" borderId="7" xfId="10" applyFont="1" applyBorder="1" applyAlignment="1">
      <alignment horizontal="center" vertical="center"/>
    </xf>
    <xf numFmtId="0" fontId="22" fillId="0" borderId="0" xfId="10" applyFont="1" applyAlignment="1">
      <alignment horizontal="right" vertical="center"/>
    </xf>
    <xf numFmtId="0" fontId="16" fillId="0" borderId="0" xfId="10" applyFont="1" applyAlignment="1">
      <alignment horizontal="center"/>
    </xf>
    <xf numFmtId="0" fontId="16" fillId="4" borderId="4" xfId="71" applyFont="1" applyFill="1" applyBorder="1" applyAlignment="1">
      <alignment horizontal="left" vertical="center" wrapText="1"/>
    </xf>
    <xf numFmtId="0" fontId="21" fillId="4" borderId="4" xfId="71" applyFont="1" applyFill="1" applyBorder="1" applyAlignment="1">
      <alignment horizontal="center" vertical="center"/>
    </xf>
    <xf numFmtId="10" fontId="16" fillId="4" borderId="4" xfId="42" applyNumberFormat="1" applyFont="1" applyFill="1" applyBorder="1" applyAlignment="1">
      <alignment horizontal="center" vertical="center"/>
    </xf>
    <xf numFmtId="2" fontId="16" fillId="4" borderId="4" xfId="71" applyNumberFormat="1" applyFont="1" applyFill="1" applyBorder="1" applyAlignment="1">
      <alignment horizontal="center" vertical="center"/>
    </xf>
    <xf numFmtId="2" fontId="16" fillId="0" borderId="4" xfId="71" applyNumberFormat="1" applyFont="1" applyBorder="1" applyAlignment="1">
      <alignment horizontal="center" vertical="center"/>
    </xf>
    <xf numFmtId="2" fontId="16" fillId="4" borderId="4" xfId="19" applyNumberFormat="1" applyFont="1" applyFill="1" applyBorder="1" applyAlignment="1">
      <alignment horizontal="center" vertical="center"/>
    </xf>
    <xf numFmtId="0" fontId="16" fillId="4" borderId="4" xfId="71" applyFont="1" applyFill="1" applyBorder="1" applyAlignment="1">
      <alignment horizontal="left" vertical="center"/>
    </xf>
    <xf numFmtId="10" fontId="23" fillId="0" borderId="4" xfId="42" applyNumberFormat="1" applyFont="1" applyFill="1" applyBorder="1" applyAlignment="1">
      <alignment horizontal="center" vertical="center"/>
    </xf>
    <xf numFmtId="0" fontId="16" fillId="4" borderId="14" xfId="71" applyFont="1" applyFill="1" applyBorder="1" applyAlignment="1">
      <alignment horizontal="center" vertical="center"/>
    </xf>
    <xf numFmtId="0" fontId="21" fillId="4" borderId="15" xfId="71" applyFont="1" applyFill="1" applyBorder="1" applyAlignment="1">
      <alignment horizontal="center" vertical="center"/>
    </xf>
    <xf numFmtId="0" fontId="13" fillId="0" borderId="0" xfId="14" applyFont="1" applyAlignment="1">
      <alignment horizontal="center" vertical="center"/>
    </xf>
    <xf numFmtId="0" fontId="16" fillId="0" borderId="4" xfId="10" applyFont="1" applyBorder="1" applyAlignment="1">
      <alignment vertical="center" wrapText="1"/>
    </xf>
    <xf numFmtId="0" fontId="16" fillId="0" borderId="10" xfId="14" applyFont="1" applyBorder="1">
      <alignment vertical="center"/>
    </xf>
    <xf numFmtId="0" fontId="21" fillId="0" borderId="4" xfId="10" applyFont="1" applyBorder="1" applyAlignment="1">
      <alignment vertical="center" wrapText="1"/>
    </xf>
    <xf numFmtId="0" fontId="21" fillId="0" borderId="0" xfId="10" applyFont="1" applyAlignment="1">
      <alignment horizontal="centerContinuous" vertical="center"/>
    </xf>
    <xf numFmtId="0" fontId="16" fillId="4" borderId="4" xfId="10" applyFont="1" applyFill="1" applyBorder="1" applyAlignment="1">
      <alignment vertical="center"/>
    </xf>
    <xf numFmtId="0" fontId="16" fillId="4" borderId="0" xfId="10" applyFont="1" applyFill="1" applyAlignment="1">
      <alignment vertical="center"/>
    </xf>
    <xf numFmtId="0" fontId="16" fillId="0" borderId="0" xfId="14" applyFont="1" applyAlignment="1">
      <alignment horizontal="centerContinuous" vertical="center"/>
    </xf>
    <xf numFmtId="0" fontId="21" fillId="0" borderId="4" xfId="14" applyFont="1" applyBorder="1" applyAlignment="1">
      <alignment horizontal="left" vertical="center" wrapText="1"/>
    </xf>
    <xf numFmtId="0" fontId="16" fillId="0" borderId="4" xfId="14" quotePrefix="1" applyFont="1" applyBorder="1" applyAlignment="1">
      <alignment horizontal="center" vertical="center" wrapText="1"/>
    </xf>
    <xf numFmtId="0" fontId="16" fillId="0" borderId="4" xfId="14" applyFont="1" applyBorder="1" applyAlignment="1">
      <alignment horizontal="center" vertical="center" wrapText="1"/>
    </xf>
    <xf numFmtId="0" fontId="16" fillId="0" borderId="4" xfId="14" applyFont="1" applyBorder="1" applyAlignment="1">
      <alignment horizontal="left" vertical="center" wrapText="1"/>
    </xf>
    <xf numFmtId="0" fontId="24" fillId="0" borderId="4" xfId="14" applyFont="1" applyBorder="1" applyAlignment="1">
      <alignment horizontal="center" vertical="center" wrapText="1"/>
    </xf>
    <xf numFmtId="0" fontId="16" fillId="0" borderId="4" xfId="14" applyFont="1" applyBorder="1" applyAlignment="1">
      <alignment vertical="center" wrapText="1"/>
    </xf>
    <xf numFmtId="0" fontId="21" fillId="0" borderId="4" xfId="14" applyFont="1" applyBorder="1" applyAlignment="1">
      <alignment vertical="center" wrapText="1"/>
    </xf>
    <xf numFmtId="0" fontId="21" fillId="0" borderId="0" xfId="14" applyFont="1" applyAlignment="1">
      <alignment horizontal="left" vertical="center" wrapText="1"/>
    </xf>
    <xf numFmtId="0" fontId="16" fillId="0" borderId="0" xfId="14" quotePrefix="1" applyFont="1" applyAlignment="1">
      <alignment horizontal="center" vertical="center" wrapText="1"/>
    </xf>
    <xf numFmtId="0" fontId="16" fillId="0" borderId="0" xfId="10" applyFont="1" applyAlignment="1">
      <alignment horizontal="center" vertical="center" wrapText="1"/>
    </xf>
    <xf numFmtId="0" fontId="25" fillId="0" borderId="0" xfId="10" applyFont="1" applyAlignment="1">
      <alignment horizontal="left" vertical="center"/>
    </xf>
    <xf numFmtId="0" fontId="16" fillId="0" borderId="0" xfId="10" applyFont="1" applyAlignment="1">
      <alignment horizontal="justify" vertical="center" wrapText="1"/>
    </xf>
    <xf numFmtId="0" fontId="16" fillId="0" borderId="0" xfId="0" applyFont="1" applyAlignment="1">
      <alignment vertical="center"/>
    </xf>
    <xf numFmtId="0" fontId="16" fillId="0" borderId="0" xfId="0" applyFont="1" applyAlignment="1">
      <alignment horizontal="center" vertical="center"/>
    </xf>
    <xf numFmtId="0" fontId="21" fillId="0" borderId="0" xfId="0" applyFont="1" applyAlignment="1">
      <alignment vertical="center"/>
    </xf>
    <xf numFmtId="0" fontId="21" fillId="0" borderId="4" xfId="0" applyFont="1" applyBorder="1" applyAlignment="1">
      <alignment horizontal="center" vertical="center"/>
    </xf>
    <xf numFmtId="0" fontId="16" fillId="0" borderId="4" xfId="0" applyFont="1" applyBorder="1" applyAlignment="1">
      <alignment horizontal="center" vertical="center"/>
    </xf>
    <xf numFmtId="0" fontId="21" fillId="0" borderId="4" xfId="0" applyFont="1" applyBorder="1" applyAlignment="1">
      <alignment vertical="center"/>
    </xf>
    <xf numFmtId="0" fontId="16" fillId="0" borderId="4" xfId="0" applyFont="1" applyBorder="1" applyAlignment="1">
      <alignment vertical="center" wrapText="1"/>
    </xf>
    <xf numFmtId="0" fontId="26" fillId="0" borderId="4" xfId="0" applyFont="1" applyBorder="1" applyAlignment="1">
      <alignment vertical="center"/>
    </xf>
    <xf numFmtId="0" fontId="26" fillId="0" borderId="7" xfId="0" applyFont="1" applyBorder="1" applyAlignment="1">
      <alignment vertical="center"/>
    </xf>
    <xf numFmtId="0" fontId="27" fillId="0" borderId="4" xfId="0" applyFont="1" applyBorder="1" applyAlignment="1">
      <alignment horizontal="center" vertical="center"/>
    </xf>
    <xf numFmtId="0" fontId="26" fillId="0" borderId="4" xfId="0" applyFont="1" applyBorder="1" applyAlignment="1">
      <alignment horizontal="center" vertical="center"/>
    </xf>
    <xf numFmtId="0" fontId="26" fillId="0" borderId="7" xfId="0" applyFont="1" applyBorder="1" applyAlignment="1">
      <alignment horizontal="center" vertical="center"/>
    </xf>
    <xf numFmtId="0" fontId="21" fillId="0" borderId="8" xfId="0" applyFont="1" applyBorder="1" applyAlignment="1">
      <alignment horizontal="center" vertical="center" wrapText="1"/>
    </xf>
    <xf numFmtId="2" fontId="16" fillId="0" borderId="4" xfId="0" applyNumberFormat="1" applyFont="1" applyBorder="1" applyAlignment="1">
      <alignment vertical="center"/>
    </xf>
    <xf numFmtId="0" fontId="16" fillId="0" borderId="4" xfId="0" applyFont="1" applyBorder="1" applyAlignment="1">
      <alignment horizontal="center" vertical="center" wrapText="1"/>
    </xf>
    <xf numFmtId="1" fontId="16" fillId="0" borderId="4" xfId="0" applyNumberFormat="1" applyFont="1" applyBorder="1" applyAlignment="1">
      <alignment vertical="center"/>
    </xf>
    <xf numFmtId="2" fontId="21" fillId="0" borderId="4" xfId="0" applyNumberFormat="1" applyFont="1" applyBorder="1" applyAlignment="1">
      <alignment vertical="center"/>
    </xf>
    <xf numFmtId="0" fontId="16" fillId="0" borderId="0" xfId="10" applyFont="1" applyAlignment="1">
      <alignment vertical="center" wrapText="1"/>
    </xf>
    <xf numFmtId="0" fontId="26" fillId="0" borderId="4" xfId="0" applyFont="1" applyBorder="1" applyAlignment="1">
      <alignment vertical="center" wrapText="1"/>
    </xf>
    <xf numFmtId="0" fontId="16" fillId="0" borderId="12" xfId="0" applyFont="1" applyBorder="1" applyAlignment="1">
      <alignment vertical="center"/>
    </xf>
    <xf numFmtId="0" fontId="16" fillId="0" borderId="9" xfId="0" applyFont="1" applyBorder="1" applyAlignment="1">
      <alignment vertical="center"/>
    </xf>
    <xf numFmtId="0" fontId="16" fillId="0" borderId="0" xfId="0" applyFont="1" applyAlignment="1">
      <alignment vertical="center" wrapText="1"/>
    </xf>
    <xf numFmtId="2" fontId="16" fillId="0" borderId="0" xfId="10" applyNumberFormat="1" applyFont="1" applyAlignment="1">
      <alignment horizontal="center" vertical="center" wrapText="1"/>
    </xf>
    <xf numFmtId="14" fontId="16" fillId="0" borderId="0" xfId="0" applyNumberFormat="1" applyFont="1" applyAlignment="1">
      <alignment vertical="center"/>
    </xf>
    <xf numFmtId="14" fontId="16" fillId="0" borderId="0" xfId="10" applyNumberFormat="1" applyFont="1" applyAlignment="1">
      <alignment horizontal="center" vertical="center" wrapText="1"/>
    </xf>
    <xf numFmtId="2" fontId="16" fillId="0" borderId="0" xfId="0" applyNumberFormat="1" applyFont="1" applyAlignment="1">
      <alignment vertical="center"/>
    </xf>
    <xf numFmtId="10" fontId="16" fillId="0" borderId="0" xfId="24" applyNumberFormat="1" applyFont="1" applyFill="1" applyBorder="1" applyAlignment="1">
      <alignment vertical="center"/>
    </xf>
    <xf numFmtId="0" fontId="16" fillId="0" borderId="5" xfId="0" applyFont="1" applyBorder="1" applyAlignment="1">
      <alignment horizontal="center" vertical="center"/>
    </xf>
    <xf numFmtId="0" fontId="16" fillId="0" borderId="0" xfId="34" applyFont="1" applyAlignment="1">
      <alignment vertical="center" wrapText="1"/>
    </xf>
    <xf numFmtId="1" fontId="21" fillId="0" borderId="4" xfId="0" applyNumberFormat="1" applyFont="1" applyBorder="1" applyAlignment="1">
      <alignment horizontal="center" vertical="center" wrapText="1"/>
    </xf>
    <xf numFmtId="0" fontId="16" fillId="0" borderId="4" xfId="0" applyFont="1" applyBorder="1" applyAlignment="1">
      <alignment horizontal="left" vertical="center" wrapText="1"/>
    </xf>
    <xf numFmtId="9" fontId="21" fillId="0" borderId="0" xfId="24" quotePrefix="1" applyFont="1" applyFill="1" applyBorder="1" applyAlignment="1">
      <alignment horizontal="right" vertical="center"/>
    </xf>
    <xf numFmtId="164" fontId="21" fillId="0" borderId="0" xfId="51" applyFont="1" applyFill="1" applyBorder="1" applyAlignment="1">
      <alignment horizontal="center" vertical="center"/>
    </xf>
    <xf numFmtId="164" fontId="21" fillId="0" borderId="0" xfId="51" quotePrefix="1" applyFont="1" applyFill="1" applyBorder="1" applyAlignment="1">
      <alignment horizontal="right" vertical="center"/>
    </xf>
    <xf numFmtId="164" fontId="16" fillId="0" borderId="0" xfId="51" applyFont="1" applyFill="1" applyBorder="1" applyAlignment="1">
      <alignment vertical="center"/>
    </xf>
    <xf numFmtId="0" fontId="21" fillId="0" borderId="4" xfId="10" quotePrefix="1" applyFont="1" applyBorder="1" applyAlignment="1">
      <alignment horizontal="center" vertical="center" wrapText="1"/>
    </xf>
    <xf numFmtId="2" fontId="16" fillId="0" borderId="0" xfId="10" applyNumberFormat="1" applyFont="1" applyAlignment="1">
      <alignment vertical="center"/>
    </xf>
    <xf numFmtId="2" fontId="16" fillId="0" borderId="4" xfId="10" applyNumberFormat="1" applyFont="1" applyBorder="1" applyAlignment="1">
      <alignment horizontal="center" vertical="center"/>
    </xf>
    <xf numFmtId="9" fontId="16" fillId="0" borderId="0" xfId="24" applyFont="1" applyFill="1" applyBorder="1" applyAlignment="1">
      <alignment vertical="center"/>
    </xf>
    <xf numFmtId="2" fontId="21" fillId="0" borderId="4" xfId="10" applyNumberFormat="1" applyFont="1" applyBorder="1" applyAlignment="1">
      <alignment horizontal="center" vertical="center"/>
    </xf>
    <xf numFmtId="172" fontId="16" fillId="0" borderId="0" xfId="24" applyNumberFormat="1" applyFont="1" applyFill="1" applyBorder="1" applyAlignment="1">
      <alignment vertical="center"/>
    </xf>
    <xf numFmtId="171" fontId="16" fillId="0" borderId="0" xfId="10" applyNumberFormat="1" applyFont="1" applyAlignment="1">
      <alignment vertical="center"/>
    </xf>
    <xf numFmtId="0" fontId="21" fillId="0" borderId="4" xfId="10" quotePrefix="1" applyFont="1" applyBorder="1" applyAlignment="1">
      <alignment horizontal="center" vertical="center"/>
    </xf>
    <xf numFmtId="2" fontId="21" fillId="0" borderId="0" xfId="10" applyNumberFormat="1" applyFont="1" applyAlignment="1">
      <alignment vertical="center"/>
    </xf>
    <xf numFmtId="46" fontId="21" fillId="0" borderId="0" xfId="10" applyNumberFormat="1" applyFont="1" applyAlignment="1">
      <alignment horizontal="left" vertical="center"/>
    </xf>
    <xf numFmtId="164" fontId="21" fillId="0" borderId="0" xfId="10" applyNumberFormat="1" applyFont="1" applyAlignment="1">
      <alignment horizontal="center" vertical="center"/>
    </xf>
    <xf numFmtId="2" fontId="21" fillId="0" borderId="0" xfId="10" applyNumberFormat="1" applyFont="1" applyAlignment="1">
      <alignment horizontal="center" vertical="center"/>
    </xf>
    <xf numFmtId="173" fontId="16" fillId="0" borderId="0" xfId="10" applyNumberFormat="1" applyFont="1" applyAlignment="1">
      <alignment vertical="center"/>
    </xf>
    <xf numFmtId="0" fontId="16" fillId="0" borderId="12" xfId="10" applyFont="1" applyBorder="1" applyAlignment="1">
      <alignment vertical="center"/>
    </xf>
    <xf numFmtId="0" fontId="21" fillId="0" borderId="0" xfId="40" applyFont="1" applyAlignment="1">
      <alignment horizontal="left" vertical="center"/>
    </xf>
    <xf numFmtId="0" fontId="16" fillId="0" borderId="6" xfId="0" applyFont="1" applyBorder="1" applyAlignment="1">
      <alignment vertical="center"/>
    </xf>
    <xf numFmtId="0" fontId="21" fillId="0" borderId="5" xfId="0" applyFont="1" applyBorder="1" applyAlignment="1">
      <alignment horizontal="center" vertical="center"/>
    </xf>
    <xf numFmtId="0" fontId="21" fillId="0" borderId="13" xfId="0" applyFont="1" applyBorder="1" applyAlignment="1">
      <alignment horizontal="center" vertical="center" wrapText="1"/>
    </xf>
    <xf numFmtId="0" fontId="21" fillId="0" borderId="13" xfId="0" applyFont="1" applyBorder="1" applyAlignment="1">
      <alignment horizontal="center" vertical="center"/>
    </xf>
    <xf numFmtId="0" fontId="16" fillId="0" borderId="5" xfId="0" applyFont="1" applyBorder="1" applyAlignment="1">
      <alignment vertical="center"/>
    </xf>
    <xf numFmtId="0" fontId="16" fillId="0" borderId="13" xfId="0" applyFont="1" applyBorder="1" applyAlignment="1">
      <alignment vertical="center"/>
    </xf>
    <xf numFmtId="0" fontId="29" fillId="0" borderId="0" xfId="0" applyFont="1" applyAlignment="1">
      <alignment vertical="center"/>
    </xf>
    <xf numFmtId="0" fontId="21" fillId="4" borderId="5" xfId="10" applyFont="1" applyFill="1" applyBorder="1" applyAlignment="1">
      <alignment horizontal="justify" vertical="center" wrapText="1"/>
    </xf>
    <xf numFmtId="0" fontId="16" fillId="4" borderId="5" xfId="10" applyFont="1" applyFill="1" applyBorder="1" applyAlignment="1">
      <alignment vertical="center"/>
    </xf>
    <xf numFmtId="0" fontId="16" fillId="4" borderId="4" xfId="72" applyFont="1" applyFill="1" applyBorder="1" applyAlignment="1">
      <alignment vertical="center"/>
    </xf>
    <xf numFmtId="0" fontId="21" fillId="4" borderId="5" xfId="10" applyFont="1" applyFill="1" applyBorder="1" applyAlignment="1">
      <alignment horizontal="center" vertical="center"/>
    </xf>
    <xf numFmtId="0" fontId="16" fillId="4" borderId="5" xfId="10" quotePrefix="1" applyFont="1" applyFill="1" applyBorder="1" applyAlignment="1">
      <alignment horizontal="center" vertical="center"/>
    </xf>
    <xf numFmtId="0" fontId="16" fillId="4" borderId="4" xfId="10" quotePrefix="1" applyFont="1" applyFill="1" applyBorder="1" applyAlignment="1">
      <alignment horizontal="center" vertical="center"/>
    </xf>
    <xf numFmtId="0" fontId="16" fillId="4" borderId="13" xfId="10" applyFont="1" applyFill="1" applyBorder="1" applyAlignment="1">
      <alignment vertical="center"/>
    </xf>
    <xf numFmtId="0" fontId="16" fillId="0" borderId="4" xfId="72" applyFont="1" applyBorder="1" applyAlignment="1">
      <alignment horizontal="center" vertical="center"/>
    </xf>
    <xf numFmtId="0" fontId="16" fillId="4" borderId="14" xfId="10" applyFont="1" applyFill="1" applyBorder="1" applyAlignment="1">
      <alignment vertical="center"/>
    </xf>
    <xf numFmtId="0" fontId="16" fillId="4" borderId="16" xfId="10" applyFont="1" applyFill="1" applyBorder="1" applyAlignment="1">
      <alignment vertical="center"/>
    </xf>
    <xf numFmtId="0" fontId="16" fillId="4" borderId="29" xfId="10" applyFont="1" applyFill="1" applyBorder="1" applyAlignment="1">
      <alignment vertical="center"/>
    </xf>
    <xf numFmtId="0" fontId="25" fillId="4" borderId="0" xfId="10" applyFont="1" applyFill="1" applyAlignment="1">
      <alignment vertical="center"/>
    </xf>
    <xf numFmtId="0" fontId="16" fillId="4" borderId="0" xfId="10" applyFont="1" applyFill="1" applyAlignment="1">
      <alignment horizontal="left" vertical="center"/>
    </xf>
    <xf numFmtId="0" fontId="21" fillId="6" borderId="4" xfId="0" applyFont="1" applyFill="1" applyBorder="1" applyAlignment="1">
      <alignment vertical="center"/>
    </xf>
    <xf numFmtId="2" fontId="21" fillId="6" borderId="4" xfId="0" applyNumberFormat="1" applyFont="1" applyFill="1" applyBorder="1" applyAlignment="1">
      <alignment vertical="center"/>
    </xf>
    <xf numFmtId="2" fontId="21" fillId="6" borderId="15" xfId="0" applyNumberFormat="1" applyFont="1" applyFill="1" applyBorder="1" applyAlignment="1">
      <alignment vertical="center"/>
    </xf>
    <xf numFmtId="2" fontId="21" fillId="0" borderId="4" xfId="10" applyNumberFormat="1" applyFont="1" applyBorder="1" applyAlignment="1">
      <alignment horizontal="center" vertical="center" wrapText="1"/>
    </xf>
    <xf numFmtId="2" fontId="16" fillId="0" borderId="4" xfId="10" applyNumberFormat="1" applyFont="1" applyBorder="1" applyAlignment="1">
      <alignment horizontal="center" vertical="center" wrapText="1"/>
    </xf>
    <xf numFmtId="2" fontId="21" fillId="0" borderId="4" xfId="10" quotePrefix="1" applyNumberFormat="1" applyFont="1" applyBorder="1" applyAlignment="1">
      <alignment horizontal="center" vertical="center"/>
    </xf>
    <xf numFmtId="2" fontId="21" fillId="6" borderId="4" xfId="10" applyNumberFormat="1" applyFont="1" applyFill="1" applyBorder="1" applyAlignment="1">
      <alignment horizontal="center" vertical="center"/>
    </xf>
    <xf numFmtId="2" fontId="21" fillId="6" borderId="4" xfId="14" applyNumberFormat="1" applyFont="1" applyFill="1" applyBorder="1">
      <alignment vertical="center"/>
    </xf>
    <xf numFmtId="2" fontId="21" fillId="6" borderId="4" xfId="10" applyNumberFormat="1" applyFont="1" applyFill="1" applyBorder="1" applyAlignment="1">
      <alignment vertical="center"/>
    </xf>
    <xf numFmtId="2" fontId="21" fillId="6" borderId="10" xfId="14" applyNumberFormat="1" applyFont="1" applyFill="1" applyBorder="1">
      <alignment vertical="center"/>
    </xf>
    <xf numFmtId="2" fontId="21" fillId="6" borderId="4" xfId="71" applyNumberFormat="1" applyFont="1" applyFill="1" applyBorder="1" applyAlignment="1">
      <alignment horizontal="center" vertical="center"/>
    </xf>
    <xf numFmtId="2" fontId="21" fillId="6" borderId="4" xfId="19" applyNumberFormat="1" applyFont="1" applyFill="1" applyBorder="1" applyAlignment="1">
      <alignment horizontal="center" vertical="center"/>
    </xf>
    <xf numFmtId="10" fontId="21" fillId="6" borderId="15" xfId="71" applyNumberFormat="1" applyFont="1" applyFill="1" applyBorder="1" applyAlignment="1">
      <alignment horizontal="center" vertical="center"/>
    </xf>
    <xf numFmtId="2" fontId="21" fillId="6" borderId="15" xfId="19" applyNumberFormat="1" applyFont="1" applyFill="1" applyBorder="1" applyAlignment="1">
      <alignment horizontal="center" vertical="center"/>
    </xf>
    <xf numFmtId="10" fontId="16" fillId="0" borderId="10" xfId="42" applyNumberFormat="1" applyFont="1" applyBorder="1" applyAlignment="1">
      <alignment vertical="center"/>
    </xf>
    <xf numFmtId="10" fontId="16" fillId="0" borderId="10" xfId="14" applyNumberFormat="1" applyFont="1" applyBorder="1">
      <alignment vertical="center"/>
    </xf>
    <xf numFmtId="2" fontId="16" fillId="0" borderId="10" xfId="14" applyNumberFormat="1" applyFont="1" applyBorder="1">
      <alignment vertical="center"/>
    </xf>
    <xf numFmtId="2" fontId="16" fillId="0" borderId="4" xfId="10" applyNumberFormat="1" applyFont="1" applyBorder="1" applyAlignment="1">
      <alignment vertical="center"/>
    </xf>
    <xf numFmtId="2" fontId="21" fillId="6" borderId="4" xfId="14" applyNumberFormat="1" applyFont="1" applyFill="1" applyBorder="1" applyAlignment="1">
      <alignment horizontal="center" vertical="center"/>
    </xf>
    <xf numFmtId="2" fontId="16" fillId="0" borderId="4" xfId="10" applyNumberFormat="1" applyFont="1" applyBorder="1" applyAlignment="1">
      <alignment horizontal="right" vertical="center"/>
    </xf>
    <xf numFmtId="2" fontId="21" fillId="0" borderId="4" xfId="14" applyNumberFormat="1" applyFont="1" applyBorder="1" applyAlignment="1">
      <alignment horizontal="center" vertical="center"/>
    </xf>
    <xf numFmtId="2" fontId="21" fillId="5" borderId="4" xfId="14" applyNumberFormat="1" applyFont="1" applyFill="1" applyBorder="1" applyAlignment="1">
      <alignment horizontal="center" vertical="center"/>
    </xf>
    <xf numFmtId="2" fontId="21" fillId="0" borderId="4" xfId="10" applyNumberFormat="1" applyFont="1" applyBorder="1" applyAlignment="1">
      <alignment vertical="center"/>
    </xf>
    <xf numFmtId="2" fontId="16" fillId="0" borderId="4" xfId="14" applyNumberFormat="1" applyFont="1" applyBorder="1" applyAlignment="1">
      <alignment horizontal="right" vertical="center"/>
    </xf>
    <xf numFmtId="2" fontId="16" fillId="0" borderId="4" xfId="10" applyNumberFormat="1" applyFont="1" applyBorder="1" applyAlignment="1">
      <alignment horizontal="right" vertical="center" wrapText="1"/>
    </xf>
    <xf numFmtId="2" fontId="21" fillId="6" borderId="10" xfId="14" applyNumberFormat="1" applyFont="1" applyFill="1" applyBorder="1" applyAlignment="1">
      <alignment horizontal="right" vertical="center"/>
    </xf>
    <xf numFmtId="2" fontId="16" fillId="6" borderId="4" xfId="10" applyNumberFormat="1" applyFont="1" applyFill="1" applyBorder="1" applyAlignment="1">
      <alignment horizontal="center" vertical="center"/>
    </xf>
    <xf numFmtId="2" fontId="16" fillId="6" borderId="4" xfId="10" applyNumberFormat="1" applyFont="1" applyFill="1" applyBorder="1" applyAlignment="1">
      <alignment horizontal="center" vertical="center" wrapText="1"/>
    </xf>
    <xf numFmtId="0" fontId="21" fillId="0" borderId="4" xfId="0" applyFont="1" applyBorder="1" applyAlignment="1">
      <alignment horizontal="center" vertical="center" wrapText="1"/>
    </xf>
    <xf numFmtId="0" fontId="21" fillId="0" borderId="6" xfId="14" applyFont="1" applyBorder="1" applyAlignment="1">
      <alignment horizontal="center" vertical="center" wrapText="1"/>
    </xf>
    <xf numFmtId="0" fontId="16" fillId="4" borderId="4" xfId="72" applyFont="1" applyFill="1" applyBorder="1" applyAlignment="1">
      <alignment horizontal="center" vertical="center"/>
    </xf>
    <xf numFmtId="0" fontId="16" fillId="4" borderId="4" xfId="10" applyFont="1" applyFill="1" applyBorder="1" applyAlignment="1">
      <alignment horizontal="center" vertical="center"/>
    </xf>
    <xf numFmtId="0" fontId="16" fillId="4" borderId="13" xfId="10" applyFont="1" applyFill="1" applyBorder="1" applyAlignment="1">
      <alignment horizontal="center" vertical="center"/>
    </xf>
    <xf numFmtId="0" fontId="16" fillId="0" borderId="0" xfId="10" applyFont="1" applyAlignment="1">
      <alignment horizontal="left" vertical="center" wrapText="1"/>
    </xf>
    <xf numFmtId="0" fontId="34" fillId="0" borderId="0" xfId="0" applyFont="1"/>
    <xf numFmtId="9" fontId="0" fillId="0" borderId="0" xfId="0" applyNumberFormat="1"/>
    <xf numFmtId="0" fontId="36" fillId="0" borderId="4" xfId="0" applyFont="1" applyBorder="1" applyAlignment="1">
      <alignment horizontal="center" vertical="center"/>
    </xf>
    <xf numFmtId="0" fontId="36" fillId="0" borderId="4" xfId="0" applyFont="1" applyBorder="1" applyAlignment="1">
      <alignment horizontal="center" vertical="center" wrapText="1"/>
    </xf>
    <xf numFmtId="0" fontId="37" fillId="0" borderId="4" xfId="0" applyFont="1" applyBorder="1" applyAlignment="1">
      <alignment horizontal="center" vertical="center"/>
    </xf>
    <xf numFmtId="0" fontId="36" fillId="0" borderId="4" xfId="0" applyFont="1" applyBorder="1" applyAlignment="1">
      <alignment horizontal="left" vertical="center"/>
    </xf>
    <xf numFmtId="173" fontId="0" fillId="0" borderId="4" xfId="0" applyNumberFormat="1" applyBorder="1"/>
    <xf numFmtId="173" fontId="37" fillId="0" borderId="4" xfId="0" applyNumberFormat="1" applyFont="1" applyBorder="1" applyAlignment="1">
      <alignment horizontal="center" vertical="center"/>
    </xf>
    <xf numFmtId="15" fontId="35" fillId="8" borderId="8" xfId="0" applyNumberFormat="1" applyFont="1" applyFill="1" applyBorder="1" applyAlignment="1">
      <alignment horizontal="center" vertical="center" wrapText="1"/>
    </xf>
    <xf numFmtId="15" fontId="35" fillId="9" borderId="8" xfId="0" applyNumberFormat="1" applyFont="1" applyFill="1" applyBorder="1" applyAlignment="1">
      <alignment horizontal="center" vertical="center" wrapText="1"/>
    </xf>
    <xf numFmtId="0" fontId="38" fillId="8" borderId="32" xfId="0" applyFont="1" applyFill="1" applyBorder="1" applyAlignment="1">
      <alignment horizontal="center"/>
    </xf>
    <xf numFmtId="0" fontId="38" fillId="9" borderId="32" xfId="0" applyFont="1" applyFill="1" applyBorder="1" applyAlignment="1">
      <alignment horizontal="center"/>
    </xf>
    <xf numFmtId="0" fontId="39" fillId="0" borderId="4" xfId="0" applyFont="1" applyBorder="1"/>
    <xf numFmtId="164" fontId="40" fillId="0" borderId="4" xfId="74" applyNumberFormat="1" applyFont="1" applyFill="1" applyBorder="1" applyAlignment="1">
      <alignment horizontal="right"/>
    </xf>
    <xf numFmtId="2" fontId="39" fillId="0" borderId="4" xfId="0" applyNumberFormat="1" applyFont="1" applyBorder="1"/>
    <xf numFmtId="2" fontId="39" fillId="8" borderId="4" xfId="0" applyNumberFormat="1" applyFont="1" applyFill="1" applyBorder="1"/>
    <xf numFmtId="2" fontId="40" fillId="0" borderId="4" xfId="0" applyNumberFormat="1" applyFont="1" applyBorder="1"/>
    <xf numFmtId="0" fontId="41" fillId="0" borderId="0" xfId="0" applyFont="1"/>
    <xf numFmtId="2" fontId="0" fillId="0" borderId="0" xfId="0" applyNumberFormat="1"/>
    <xf numFmtId="174" fontId="0" fillId="0" borderId="0" xfId="0" applyNumberFormat="1"/>
    <xf numFmtId="0" fontId="26" fillId="0" borderId="7" xfId="0" applyFont="1" applyBorder="1" applyAlignment="1">
      <alignment vertical="center" wrapText="1"/>
    </xf>
    <xf numFmtId="173" fontId="26" fillId="0" borderId="0" xfId="0" applyNumberFormat="1" applyFont="1"/>
    <xf numFmtId="175" fontId="0" fillId="0" borderId="0" xfId="0" applyNumberFormat="1"/>
    <xf numFmtId="0" fontId="27" fillId="0" borderId="4" xfId="0" applyFont="1" applyBorder="1" applyAlignment="1">
      <alignment horizontal="center" vertical="center" wrapText="1"/>
    </xf>
    <xf numFmtId="173" fontId="16" fillId="0" borderId="4" xfId="0" applyNumberFormat="1" applyFont="1" applyBorder="1" applyAlignment="1">
      <alignment vertical="center"/>
    </xf>
    <xf numFmtId="0" fontId="42" fillId="0" borderId="4" xfId="0" applyFont="1" applyBorder="1"/>
    <xf numFmtId="173" fontId="42" fillId="0" borderId="4" xfId="0" applyNumberFormat="1" applyFont="1" applyBorder="1"/>
    <xf numFmtId="173" fontId="0" fillId="0" borderId="0" xfId="0" applyNumberFormat="1"/>
    <xf numFmtId="173" fontId="8" fillId="0" borderId="0" xfId="0" applyNumberFormat="1" applyFont="1" applyAlignment="1">
      <alignment vertical="center"/>
    </xf>
    <xf numFmtId="171" fontId="8" fillId="0" borderId="0" xfId="0" applyNumberFormat="1" applyFont="1" applyAlignment="1">
      <alignment vertical="center"/>
    </xf>
    <xf numFmtId="17" fontId="16" fillId="0" borderId="4" xfId="72" applyNumberFormat="1" applyFont="1" applyBorder="1" applyAlignment="1">
      <alignment horizontal="center" vertical="center"/>
    </xf>
    <xf numFmtId="0" fontId="16" fillId="4" borderId="3" xfId="10" applyFont="1" applyFill="1" applyBorder="1" applyAlignment="1">
      <alignment vertical="center"/>
    </xf>
    <xf numFmtId="0" fontId="16" fillId="4" borderId="28" xfId="10" applyFont="1" applyFill="1" applyBorder="1" applyAlignment="1">
      <alignment vertical="center"/>
    </xf>
    <xf numFmtId="0" fontId="16" fillId="0" borderId="4" xfId="10" applyFont="1" applyBorder="1" applyAlignment="1">
      <alignment horizontal="center" vertical="top" wrapText="1"/>
    </xf>
    <xf numFmtId="17" fontId="43" fillId="0" borderId="4" xfId="0" applyNumberFormat="1" applyFont="1" applyBorder="1" applyAlignment="1">
      <alignment horizontal="center" vertical="center" wrapText="1"/>
    </xf>
    <xf numFmtId="168" fontId="16" fillId="0" borderId="4" xfId="10" applyNumberFormat="1" applyFont="1" applyBorder="1" applyAlignment="1">
      <alignment horizontal="center" vertical="top" wrapText="1"/>
    </xf>
    <xf numFmtId="4" fontId="21" fillId="0" borderId="0" xfId="10" applyNumberFormat="1" applyFont="1" applyAlignment="1">
      <alignment horizontal="center" vertical="center"/>
    </xf>
    <xf numFmtId="43" fontId="16" fillId="0" borderId="0" xfId="0" applyNumberFormat="1" applyFont="1" applyAlignment="1">
      <alignment vertical="center"/>
    </xf>
    <xf numFmtId="0" fontId="21" fillId="0" borderId="4" xfId="34" applyFont="1" applyBorder="1" applyAlignment="1">
      <alignment vertical="center" wrapText="1"/>
    </xf>
    <xf numFmtId="0" fontId="16" fillId="0" borderId="4" xfId="0" applyFont="1" applyBorder="1" applyAlignment="1">
      <alignment horizontal="left" vertical="top" wrapText="1"/>
    </xf>
    <xf numFmtId="0" fontId="49" fillId="0" borderId="4" xfId="0" applyFont="1" applyBorder="1" applyAlignment="1">
      <alignment vertical="top"/>
    </xf>
    <xf numFmtId="0" fontId="16" fillId="0" borderId="4" xfId="0" applyFont="1" applyBorder="1" applyAlignment="1">
      <alignment horizontal="center" vertical="top"/>
    </xf>
    <xf numFmtId="0" fontId="16" fillId="0" borderId="4" xfId="0" applyFont="1" applyBorder="1" applyAlignment="1">
      <alignment horizontal="center" vertical="top" wrapText="1"/>
    </xf>
    <xf numFmtId="0" fontId="49" fillId="0" borderId="0" xfId="0" applyFont="1" applyAlignment="1">
      <alignment horizontal="left" vertical="top" wrapText="1"/>
    </xf>
    <xf numFmtId="2" fontId="21" fillId="0" borderId="4" xfId="0" applyNumberFormat="1" applyFont="1" applyBorder="1" applyAlignment="1">
      <alignment horizontal="center" vertical="top" wrapText="1"/>
    </xf>
    <xf numFmtId="0" fontId="49" fillId="0" borderId="4" xfId="0" applyFont="1" applyBorder="1" applyAlignment="1">
      <alignment vertical="top" wrapText="1"/>
    </xf>
    <xf numFmtId="0" fontId="49" fillId="0" borderId="0" xfId="0" applyFont="1" applyAlignment="1">
      <alignment vertical="top"/>
    </xf>
    <xf numFmtId="0" fontId="49" fillId="0" borderId="0" xfId="0" applyFont="1" applyAlignment="1">
      <alignment vertical="top" wrapText="1"/>
    </xf>
    <xf numFmtId="0" fontId="49" fillId="0" borderId="4" xfId="0" applyFont="1" applyBorder="1" applyAlignment="1">
      <alignment horizontal="justify" vertical="top" wrapText="1"/>
    </xf>
    <xf numFmtId="0" fontId="16" fillId="0" borderId="4" xfId="34" applyFont="1" applyBorder="1" applyAlignment="1">
      <alignment vertical="top" wrapText="1"/>
    </xf>
    <xf numFmtId="0" fontId="16" fillId="0" borderId="7" xfId="0" applyFont="1" applyBorder="1" applyAlignment="1">
      <alignment vertical="center"/>
    </xf>
    <xf numFmtId="9" fontId="16" fillId="0" borderId="4" xfId="42" applyFont="1" applyBorder="1" applyAlignment="1">
      <alignment vertical="center" wrapText="1"/>
    </xf>
    <xf numFmtId="0" fontId="16" fillId="0" borderId="4" xfId="34" applyFont="1" applyBorder="1" applyAlignment="1">
      <alignment vertical="center" wrapText="1"/>
    </xf>
    <xf numFmtId="0" fontId="16" fillId="0" borderId="4" xfId="34" applyFont="1" applyBorder="1" applyAlignment="1">
      <alignment horizontal="center" vertical="center" wrapText="1"/>
    </xf>
    <xf numFmtId="0" fontId="50" fillId="0" borderId="0" xfId="0" applyFont="1" applyAlignment="1">
      <alignment horizontal="center" vertical="center"/>
    </xf>
    <xf numFmtId="0" fontId="51" fillId="0" borderId="4" xfId="0" applyFont="1" applyBorder="1" applyAlignment="1">
      <alignment vertical="top" wrapText="1"/>
    </xf>
    <xf numFmtId="4" fontId="49" fillId="0" borderId="4" xfId="0" applyNumberFormat="1" applyFont="1" applyBorder="1" applyAlignment="1">
      <alignment vertical="top" wrapText="1"/>
    </xf>
    <xf numFmtId="0" fontId="9" fillId="0" borderId="4" xfId="34" applyBorder="1" applyAlignment="1">
      <alignment vertical="top" wrapText="1"/>
    </xf>
    <xf numFmtId="3" fontId="49" fillId="0" borderId="4" xfId="0" applyNumberFormat="1" applyFont="1" applyBorder="1" applyAlignment="1">
      <alignment vertical="top" wrapText="1"/>
    </xf>
    <xf numFmtId="0" fontId="0" fillId="0" borderId="4" xfId="0" applyBorder="1"/>
    <xf numFmtId="0" fontId="53" fillId="0" borderId="0" xfId="0" applyFont="1"/>
    <xf numFmtId="0" fontId="52" fillId="0" borderId="10" xfId="14" applyFont="1" applyBorder="1" applyAlignment="1">
      <alignment horizontal="center" vertical="center" wrapText="1"/>
    </xf>
    <xf numFmtId="0" fontId="52" fillId="0" borderId="4" xfId="10" applyFont="1" applyBorder="1" applyAlignment="1">
      <alignment horizontal="center" vertical="center"/>
    </xf>
    <xf numFmtId="0" fontId="52" fillId="0" borderId="4" xfId="14" applyFont="1" applyBorder="1" applyAlignment="1">
      <alignment horizontal="center" vertical="center" wrapText="1"/>
    </xf>
    <xf numFmtId="0" fontId="52" fillId="4" borderId="4" xfId="10" applyFont="1" applyFill="1" applyBorder="1" applyAlignment="1">
      <alignment horizontal="left" vertical="center" wrapText="1"/>
    </xf>
    <xf numFmtId="0" fontId="54" fillId="0" borderId="4" xfId="10" applyFont="1" applyBorder="1" applyAlignment="1">
      <alignment vertical="center"/>
    </xf>
    <xf numFmtId="0" fontId="52" fillId="4" borderId="4" xfId="10" applyFont="1" applyFill="1" applyBorder="1" applyAlignment="1">
      <alignment horizontal="center" vertical="center"/>
    </xf>
    <xf numFmtId="0" fontId="52" fillId="0" borderId="4" xfId="10" applyFont="1" applyBorder="1" applyAlignment="1">
      <alignment vertical="center"/>
    </xf>
    <xf numFmtId="0" fontId="54" fillId="4" borderId="4" xfId="14" applyFont="1" applyFill="1" applyBorder="1">
      <alignment vertical="center"/>
    </xf>
    <xf numFmtId="0" fontId="54" fillId="5" borderId="4" xfId="14" applyFont="1" applyFill="1" applyBorder="1">
      <alignment vertical="center"/>
    </xf>
    <xf numFmtId="0" fontId="54" fillId="0" borderId="4" xfId="10" applyFont="1" applyBorder="1" applyAlignment="1">
      <alignment horizontal="center" vertical="center"/>
    </xf>
    <xf numFmtId="0" fontId="54" fillId="4" borderId="4" xfId="10" applyFont="1" applyFill="1" applyBorder="1" applyAlignment="1">
      <alignment horizontal="center" vertical="center"/>
    </xf>
    <xf numFmtId="0" fontId="54" fillId="0" borderId="4" xfId="10" applyFont="1" applyBorder="1" applyAlignment="1">
      <alignment horizontal="left" vertical="center"/>
    </xf>
    <xf numFmtId="0" fontId="54" fillId="0" borderId="4" xfId="10" applyFont="1" applyBorder="1" applyAlignment="1">
      <alignment horizontal="center" vertical="center" wrapText="1"/>
    </xf>
    <xf numFmtId="0" fontId="54" fillId="0" borderId="4" xfId="10" applyFont="1" applyBorder="1" applyAlignment="1">
      <alignment horizontal="left" vertical="center" wrapText="1"/>
    </xf>
    <xf numFmtId="0" fontId="54" fillId="4" borderId="4" xfId="10" applyFont="1" applyFill="1" applyBorder="1" applyAlignment="1">
      <alignment vertical="center" wrapText="1"/>
    </xf>
    <xf numFmtId="0" fontId="52" fillId="4" borderId="4" xfId="10" applyFont="1" applyFill="1" applyBorder="1" applyAlignment="1">
      <alignment vertical="center" wrapText="1"/>
    </xf>
    <xf numFmtId="0" fontId="54" fillId="4" borderId="4" xfId="14" applyFont="1" applyFill="1" applyBorder="1" applyAlignment="1">
      <alignment horizontal="center" vertical="center"/>
    </xf>
    <xf numFmtId="46" fontId="54" fillId="4" borderId="4" xfId="14" applyNumberFormat="1" applyFont="1" applyFill="1" applyBorder="1" applyAlignment="1">
      <alignment horizontal="center" vertical="center"/>
    </xf>
    <xf numFmtId="0" fontId="54" fillId="4" borderId="4" xfId="10" applyFont="1" applyFill="1" applyBorder="1" applyAlignment="1">
      <alignment vertical="center"/>
    </xf>
    <xf numFmtId="0" fontId="57" fillId="10" borderId="37" xfId="0" applyFont="1" applyFill="1" applyBorder="1" applyAlignment="1">
      <alignment horizontal="center" vertical="center" wrapText="1" readingOrder="1"/>
    </xf>
    <xf numFmtId="0" fontId="59" fillId="11" borderId="37" xfId="0" applyFont="1" applyFill="1" applyBorder="1" applyAlignment="1">
      <alignment horizontal="center" vertical="center" wrapText="1" readingOrder="1"/>
    </xf>
    <xf numFmtId="14" fontId="59" fillId="11" borderId="37" xfId="0" applyNumberFormat="1" applyFont="1" applyFill="1" applyBorder="1" applyAlignment="1">
      <alignment horizontal="center" vertical="center" wrapText="1" readingOrder="1"/>
    </xf>
    <xf numFmtId="20" fontId="59" fillId="11" borderId="37" xfId="0" applyNumberFormat="1" applyFont="1" applyFill="1" applyBorder="1" applyAlignment="1">
      <alignment horizontal="center" vertical="center" wrapText="1" readingOrder="1"/>
    </xf>
    <xf numFmtId="0" fontId="60" fillId="11" borderId="37" xfId="0" applyFont="1" applyFill="1" applyBorder="1" applyAlignment="1">
      <alignment horizontal="left" vertical="center" wrapText="1" readingOrder="1"/>
    </xf>
    <xf numFmtId="0" fontId="59" fillId="12" borderId="37" xfId="0" applyFont="1" applyFill="1" applyBorder="1" applyAlignment="1">
      <alignment horizontal="center" vertical="center" wrapText="1" readingOrder="1"/>
    </xf>
    <xf numFmtId="14" fontId="59" fillId="12" borderId="37" xfId="0" applyNumberFormat="1" applyFont="1" applyFill="1" applyBorder="1" applyAlignment="1">
      <alignment horizontal="center" vertical="center" wrapText="1" readingOrder="1"/>
    </xf>
    <xf numFmtId="20" fontId="59" fillId="12" borderId="37" xfId="0" applyNumberFormat="1" applyFont="1" applyFill="1" applyBorder="1" applyAlignment="1">
      <alignment horizontal="center" vertical="center" wrapText="1" readingOrder="1"/>
    </xf>
    <xf numFmtId="46" fontId="59" fillId="12" borderId="37" xfId="0" applyNumberFormat="1" applyFont="1" applyFill="1" applyBorder="1" applyAlignment="1">
      <alignment horizontal="center" vertical="center" wrapText="1" readingOrder="1"/>
    </xf>
    <xf numFmtId="0" fontId="60" fillId="12" borderId="37" xfId="0" applyFont="1" applyFill="1" applyBorder="1" applyAlignment="1">
      <alignment horizontal="left" vertical="center" wrapText="1" readingOrder="1"/>
    </xf>
    <xf numFmtId="0" fontId="59" fillId="11" borderId="33" xfId="0" applyFont="1" applyFill="1" applyBorder="1" applyAlignment="1">
      <alignment horizontal="center" vertical="center" wrapText="1" readingOrder="1"/>
    </xf>
    <xf numFmtId="14" fontId="59" fillId="11" borderId="33" xfId="0" applyNumberFormat="1" applyFont="1" applyFill="1" applyBorder="1" applyAlignment="1">
      <alignment horizontal="center" vertical="center" wrapText="1" readingOrder="1"/>
    </xf>
    <xf numFmtId="20" fontId="59" fillId="11" borderId="33" xfId="0" applyNumberFormat="1" applyFont="1" applyFill="1" applyBorder="1" applyAlignment="1">
      <alignment horizontal="center" vertical="center" wrapText="1" readingOrder="1"/>
    </xf>
    <xf numFmtId="0" fontId="60" fillId="11" borderId="33" xfId="0" applyFont="1" applyFill="1" applyBorder="1" applyAlignment="1">
      <alignment horizontal="left" vertical="center" wrapText="1" readingOrder="1"/>
    </xf>
    <xf numFmtId="0" fontId="61" fillId="0" borderId="4" xfId="0" applyFont="1" applyBorder="1"/>
    <xf numFmtId="46" fontId="62" fillId="0" borderId="4" xfId="0" applyNumberFormat="1" applyFont="1" applyBorder="1" applyAlignment="1">
      <alignment vertical="center"/>
    </xf>
    <xf numFmtId="0" fontId="21" fillId="0" borderId="3" xfId="14" applyFont="1" applyBorder="1" applyAlignment="1">
      <alignment horizontal="center" vertical="center" wrapText="1"/>
    </xf>
    <xf numFmtId="0" fontId="21" fillId="4" borderId="4" xfId="71" applyFont="1" applyFill="1" applyBorder="1" applyAlignment="1">
      <alignment horizontal="center" vertical="center" wrapText="1"/>
    </xf>
    <xf numFmtId="0" fontId="21" fillId="4" borderId="4" xfId="71" quotePrefix="1" applyFont="1" applyFill="1" applyBorder="1" applyAlignment="1">
      <alignment horizontal="center" vertical="center" wrapText="1"/>
    </xf>
    <xf numFmtId="4" fontId="16" fillId="0" borderId="4" xfId="10" applyNumberFormat="1" applyFont="1" applyBorder="1" applyAlignment="1">
      <alignment vertical="center"/>
    </xf>
    <xf numFmtId="0" fontId="21" fillId="4" borderId="8" xfId="71" applyFont="1" applyFill="1" applyBorder="1" applyAlignment="1">
      <alignment horizontal="center" vertical="center" wrapText="1"/>
    </xf>
    <xf numFmtId="0" fontId="21" fillId="4" borderId="39" xfId="71" applyFont="1" applyFill="1" applyBorder="1" applyAlignment="1">
      <alignment horizontal="center" vertical="center" wrapText="1"/>
    </xf>
    <xf numFmtId="43" fontId="16" fillId="4" borderId="4" xfId="74" applyFont="1" applyFill="1" applyBorder="1" applyAlignment="1">
      <alignment horizontal="center" vertical="center"/>
    </xf>
    <xf numFmtId="2" fontId="21" fillId="0" borderId="0" xfId="19" applyNumberFormat="1" applyFont="1" applyFill="1" applyBorder="1" applyAlignment="1">
      <alignment horizontal="center" vertical="center"/>
    </xf>
    <xf numFmtId="0" fontId="21" fillId="0" borderId="26" xfId="71" applyFont="1" applyBorder="1" applyAlignment="1">
      <alignment horizontal="center" vertical="center" wrapText="1"/>
    </xf>
    <xf numFmtId="0" fontId="21" fillId="0" borderId="0" xfId="71" quotePrefix="1" applyFont="1" applyAlignment="1">
      <alignment horizontal="center" vertical="center" wrapText="1"/>
    </xf>
    <xf numFmtId="0" fontId="21" fillId="0" borderId="0" xfId="71" applyFont="1" applyAlignment="1">
      <alignment horizontal="center" vertical="center" wrapText="1"/>
    </xf>
    <xf numFmtId="0" fontId="16" fillId="4" borderId="4" xfId="71" applyFont="1" applyFill="1" applyBorder="1" applyAlignment="1">
      <alignment horizontal="center" vertical="center"/>
    </xf>
    <xf numFmtId="10" fontId="16" fillId="4" borderId="4" xfId="71" applyNumberFormat="1" applyFont="1" applyFill="1" applyBorder="1" applyAlignment="1">
      <alignment horizontal="center" vertical="center"/>
    </xf>
    <xf numFmtId="43" fontId="16" fillId="0" borderId="4" xfId="74" applyFont="1" applyBorder="1" applyAlignment="1">
      <alignment horizontal="center" vertical="center"/>
    </xf>
    <xf numFmtId="10" fontId="21" fillId="6" borderId="4" xfId="71" applyNumberFormat="1" applyFont="1" applyFill="1" applyBorder="1" applyAlignment="1">
      <alignment horizontal="center" vertical="center"/>
    </xf>
    <xf numFmtId="0" fontId="16" fillId="4" borderId="14" xfId="71" applyFont="1" applyFill="1" applyBorder="1" applyAlignment="1">
      <alignment horizontal="right" vertical="center"/>
    </xf>
    <xf numFmtId="0" fontId="21" fillId="4" borderId="15" xfId="71" applyFont="1" applyFill="1" applyBorder="1" applyAlignment="1">
      <alignment horizontal="right" vertical="center"/>
    </xf>
    <xf numFmtId="10" fontId="21" fillId="6" borderId="15" xfId="71" applyNumberFormat="1" applyFont="1" applyFill="1" applyBorder="1" applyAlignment="1">
      <alignment horizontal="right" vertical="center"/>
    </xf>
    <xf numFmtId="2" fontId="21" fillId="6" borderId="15" xfId="19" applyNumberFormat="1" applyFont="1" applyFill="1" applyBorder="1" applyAlignment="1">
      <alignment horizontal="right" vertical="center"/>
    </xf>
    <xf numFmtId="2" fontId="16" fillId="0" borderId="4" xfId="71" applyNumberFormat="1" applyFont="1" applyBorder="1" applyAlignment="1">
      <alignment horizontal="right" vertical="center"/>
    </xf>
    <xf numFmtId="2" fontId="21" fillId="6" borderId="4" xfId="71" applyNumberFormat="1" applyFont="1" applyFill="1" applyBorder="1" applyAlignment="1">
      <alignment horizontal="right" vertical="center"/>
    </xf>
    <xf numFmtId="2" fontId="16" fillId="4" borderId="4" xfId="71" applyNumberFormat="1" applyFont="1" applyFill="1" applyBorder="1" applyAlignment="1">
      <alignment horizontal="right" vertical="center"/>
    </xf>
    <xf numFmtId="2" fontId="21" fillId="6" borderId="4" xfId="19" applyNumberFormat="1" applyFont="1" applyFill="1" applyBorder="1" applyAlignment="1">
      <alignment horizontal="right" vertical="center"/>
    </xf>
    <xf numFmtId="0" fontId="16" fillId="0" borderId="9" xfId="71" applyFont="1" applyBorder="1" applyAlignment="1">
      <alignment horizontal="center" vertical="center"/>
    </xf>
    <xf numFmtId="0" fontId="21" fillId="0" borderId="9" xfId="71" applyFont="1" applyBorder="1" applyAlignment="1">
      <alignment horizontal="center" vertical="center"/>
    </xf>
    <xf numFmtId="10" fontId="21" fillId="0" borderId="9" xfId="71" applyNumberFormat="1" applyFont="1" applyBorder="1" applyAlignment="1">
      <alignment horizontal="center" vertical="center"/>
    </xf>
    <xf numFmtId="2" fontId="21" fillId="0" borderId="9" xfId="19" applyNumberFormat="1" applyFont="1" applyFill="1" applyBorder="1" applyAlignment="1">
      <alignment horizontal="center" vertical="center"/>
    </xf>
    <xf numFmtId="10" fontId="16" fillId="0" borderId="4" xfId="10" applyNumberFormat="1" applyFont="1" applyBorder="1" applyAlignment="1">
      <alignment horizontal="left" vertical="center"/>
    </xf>
    <xf numFmtId="176" fontId="16" fillId="0" borderId="10" xfId="14" applyNumberFormat="1" applyFont="1" applyBorder="1">
      <alignment vertical="center"/>
    </xf>
    <xf numFmtId="176" fontId="21" fillId="6" borderId="10" xfId="14" applyNumberFormat="1" applyFont="1" applyFill="1" applyBorder="1">
      <alignment vertical="center"/>
    </xf>
    <xf numFmtId="2" fontId="21" fillId="0" borderId="4" xfId="14" applyNumberFormat="1" applyFont="1" applyBorder="1" applyAlignment="1">
      <alignment horizontal="right" vertical="center"/>
    </xf>
    <xf numFmtId="2" fontId="21" fillId="0" borderId="4" xfId="10" applyNumberFormat="1" applyFont="1" applyBorder="1" applyAlignment="1">
      <alignment horizontal="right" vertical="center" wrapText="1"/>
    </xf>
    <xf numFmtId="2" fontId="21" fillId="6" borderId="4" xfId="14" applyNumberFormat="1" applyFont="1" applyFill="1" applyBorder="1" applyAlignment="1">
      <alignment horizontal="right" vertical="center"/>
    </xf>
    <xf numFmtId="2" fontId="21" fillId="6" borderId="4" xfId="10" applyNumberFormat="1" applyFont="1" applyFill="1" applyBorder="1" applyAlignment="1">
      <alignment horizontal="right" vertical="center" wrapText="1"/>
    </xf>
    <xf numFmtId="0" fontId="28" fillId="0" borderId="0" xfId="10" applyFont="1" applyAlignment="1">
      <alignment vertical="center"/>
    </xf>
    <xf numFmtId="16" fontId="21" fillId="0" borderId="4" xfId="10" applyNumberFormat="1" applyFont="1" applyBorder="1" applyAlignment="1">
      <alignment horizontal="center" vertical="center" wrapText="1"/>
    </xf>
    <xf numFmtId="2" fontId="21" fillId="0" borderId="4" xfId="10" applyNumberFormat="1" applyFont="1" applyBorder="1" applyAlignment="1">
      <alignment horizontal="right" vertical="center"/>
    </xf>
    <xf numFmtId="0" fontId="16" fillId="7" borderId="4" xfId="0" applyFont="1" applyFill="1" applyBorder="1" applyAlignment="1">
      <alignment vertical="center"/>
    </xf>
    <xf numFmtId="0" fontId="21" fillId="7" borderId="4" xfId="0" applyFont="1" applyFill="1" applyBorder="1" applyAlignment="1">
      <alignment vertical="center"/>
    </xf>
    <xf numFmtId="0" fontId="21" fillId="7" borderId="4" xfId="0" applyFont="1" applyFill="1" applyBorder="1" applyAlignment="1">
      <alignment horizontal="center" vertical="center"/>
    </xf>
    <xf numFmtId="1" fontId="9" fillId="7" borderId="4" xfId="0" applyNumberFormat="1" applyFont="1" applyFill="1" applyBorder="1" applyAlignment="1">
      <alignment vertical="center"/>
    </xf>
    <xf numFmtId="2" fontId="9" fillId="0" borderId="4" xfId="0" applyNumberFormat="1" applyFont="1" applyBorder="1" applyAlignment="1">
      <alignment vertical="center"/>
    </xf>
    <xf numFmtId="1" fontId="9" fillId="0" borderId="4" xfId="0" applyNumberFormat="1" applyFont="1" applyBorder="1" applyAlignment="1">
      <alignment vertical="center"/>
    </xf>
    <xf numFmtId="2" fontId="9" fillId="7" borderId="4" xfId="0" applyNumberFormat="1" applyFont="1" applyFill="1" applyBorder="1" applyAlignment="1">
      <alignment vertical="center"/>
    </xf>
    <xf numFmtId="0" fontId="9" fillId="7" borderId="4" xfId="0" applyFont="1" applyFill="1" applyBorder="1" applyAlignment="1">
      <alignment vertical="center"/>
    </xf>
    <xf numFmtId="0" fontId="9" fillId="0" borderId="4" xfId="0" applyFont="1" applyBorder="1" applyAlignment="1">
      <alignment vertical="center"/>
    </xf>
    <xf numFmtId="2" fontId="9" fillId="6" borderId="4" xfId="0" applyNumberFormat="1" applyFont="1" applyFill="1" applyBorder="1" applyAlignment="1">
      <alignment vertical="center"/>
    </xf>
    <xf numFmtId="2" fontId="9" fillId="0" borderId="15" xfId="0" applyNumberFormat="1" applyFont="1" applyBorder="1" applyAlignment="1">
      <alignment horizontal="centerContinuous" vertical="center"/>
    </xf>
    <xf numFmtId="1" fontId="9" fillId="0" borderId="6" xfId="0" applyNumberFormat="1" applyFont="1" applyBorder="1" applyAlignment="1">
      <alignment vertical="center"/>
    </xf>
    <xf numFmtId="1" fontId="9" fillId="0" borderId="3" xfId="0" applyNumberFormat="1" applyFont="1" applyBorder="1" applyAlignment="1">
      <alignment vertical="center"/>
    </xf>
    <xf numFmtId="173" fontId="21" fillId="6" borderId="4" xfId="0" applyNumberFormat="1" applyFont="1" applyFill="1" applyBorder="1" applyAlignment="1">
      <alignment vertical="center"/>
    </xf>
    <xf numFmtId="2" fontId="21" fillId="0" borderId="4" xfId="14" applyNumberFormat="1" applyFont="1" applyBorder="1" applyAlignment="1">
      <alignment horizontal="center" vertical="center" wrapText="1"/>
    </xf>
    <xf numFmtId="0" fontId="21" fillId="0" borderId="5" xfId="0" applyFont="1" applyBorder="1" applyAlignment="1">
      <alignment horizontal="center" vertical="center" wrapText="1"/>
    </xf>
    <xf numFmtId="4" fontId="16" fillId="0" borderId="4" xfId="10" applyNumberFormat="1" applyFont="1" applyBorder="1" applyAlignment="1">
      <alignment horizontal="center" vertical="center" wrapText="1"/>
    </xf>
    <xf numFmtId="4" fontId="16" fillId="0" borderId="4" xfId="10" applyNumberFormat="1" applyFont="1" applyBorder="1" applyAlignment="1">
      <alignment horizontal="center" vertical="center"/>
    </xf>
    <xf numFmtId="4" fontId="16" fillId="0" borderId="4" xfId="0" applyNumberFormat="1" applyFont="1" applyBorder="1" applyAlignment="1">
      <alignment horizontal="center" vertical="center"/>
    </xf>
    <xf numFmtId="4" fontId="21" fillId="6" borderId="4" xfId="10" applyNumberFormat="1" applyFont="1" applyFill="1" applyBorder="1" applyAlignment="1">
      <alignment horizontal="center" vertical="center"/>
    </xf>
    <xf numFmtId="4" fontId="16" fillId="0" borderId="4" xfId="0" applyNumberFormat="1" applyFont="1" applyBorder="1" applyAlignment="1">
      <alignment vertical="center"/>
    </xf>
    <xf numFmtId="4" fontId="21" fillId="0" borderId="4" xfId="10" quotePrefix="1" applyNumberFormat="1" applyFont="1" applyBorder="1" applyAlignment="1">
      <alignment horizontal="center" vertical="center"/>
    </xf>
    <xf numFmtId="4" fontId="21" fillId="0" borderId="4" xfId="10" applyNumberFormat="1" applyFont="1" applyBorder="1" applyAlignment="1">
      <alignment horizontal="center" vertical="center"/>
    </xf>
    <xf numFmtId="10" fontId="16" fillId="0" borderId="4" xfId="34" applyNumberFormat="1" applyFont="1" applyBorder="1" applyAlignment="1">
      <alignment horizontal="center" vertical="center"/>
    </xf>
    <xf numFmtId="0" fontId="16" fillId="0" borderId="4" xfId="34" applyFont="1" applyBorder="1" applyAlignment="1">
      <alignment horizontal="center" vertical="center"/>
    </xf>
    <xf numFmtId="0" fontId="63" fillId="0" borderId="4" xfId="10" applyFont="1" applyBorder="1" applyAlignment="1">
      <alignment horizontal="center" vertical="center"/>
    </xf>
    <xf numFmtId="0" fontId="8" fillId="0" borderId="4" xfId="10" applyFont="1" applyBorder="1" applyAlignment="1">
      <alignment horizontal="center" vertical="center"/>
    </xf>
    <xf numFmtId="0" fontId="8" fillId="0" borderId="4" xfId="10" applyFont="1" applyBorder="1" applyAlignment="1">
      <alignment horizontal="center" vertical="center" wrapText="1"/>
    </xf>
    <xf numFmtId="0" fontId="47" fillId="0" borderId="4" xfId="0" applyFont="1" applyBorder="1" applyAlignment="1">
      <alignment vertical="center" wrapText="1"/>
    </xf>
    <xf numFmtId="0" fontId="9" fillId="0" borderId="4" xfId="0" applyFont="1" applyBorder="1" applyAlignment="1">
      <alignment horizontal="right"/>
    </xf>
    <xf numFmtId="0" fontId="9" fillId="0" borderId="4" xfId="0" applyFont="1" applyBorder="1" applyAlignment="1">
      <alignment vertical="center" wrapText="1"/>
    </xf>
    <xf numFmtId="0" fontId="47" fillId="0" borderId="4" xfId="0" applyFont="1" applyBorder="1"/>
    <xf numFmtId="0" fontId="47" fillId="0" borderId="4" xfId="0" applyFont="1" applyBorder="1" applyAlignment="1">
      <alignment horizontal="right"/>
    </xf>
    <xf numFmtId="2" fontId="47" fillId="0" borderId="4" xfId="0" applyNumberFormat="1" applyFont="1" applyBorder="1"/>
    <xf numFmtId="0" fontId="0" fillId="0" borderId="4" xfId="0" applyBorder="1" applyAlignment="1">
      <alignment horizontal="right"/>
    </xf>
    <xf numFmtId="2" fontId="9" fillId="0" borderId="4" xfId="0" applyNumberFormat="1" applyFont="1" applyBorder="1"/>
    <xf numFmtId="2" fontId="0" fillId="0" borderId="4" xfId="0" applyNumberFormat="1" applyBorder="1"/>
    <xf numFmtId="0" fontId="9" fillId="0" borderId="4" xfId="0" applyFont="1" applyBorder="1"/>
    <xf numFmtId="0" fontId="0" fillId="0" borderId="4" xfId="0" applyBorder="1" applyAlignment="1">
      <alignment vertical="center" wrapText="1"/>
    </xf>
    <xf numFmtId="0" fontId="0" fillId="0" borderId="4" xfId="0" applyBorder="1" applyAlignment="1">
      <alignment horizontal="center" vertical="center" wrapText="1"/>
    </xf>
    <xf numFmtId="2" fontId="47" fillId="0" borderId="4" xfId="0" applyNumberFormat="1" applyFont="1" applyBorder="1" applyAlignment="1">
      <alignment horizontal="right"/>
    </xf>
    <xf numFmtId="0" fontId="0" fillId="0" borderId="0" xfId="0" applyAlignment="1">
      <alignment horizontal="right"/>
    </xf>
    <xf numFmtId="0" fontId="9" fillId="0" borderId="4" xfId="10" applyBorder="1" applyAlignment="1">
      <alignment vertical="center" wrapText="1"/>
    </xf>
    <xf numFmtId="173" fontId="21" fillId="6" borderId="4" xfId="14" applyNumberFormat="1" applyFont="1" applyFill="1" applyBorder="1" applyAlignment="1">
      <alignment horizontal="center" vertical="center"/>
    </xf>
    <xf numFmtId="2" fontId="21" fillId="0" borderId="0" xfId="10" applyNumberFormat="1" applyFont="1" applyAlignment="1">
      <alignment horizontal="left" vertical="center"/>
    </xf>
    <xf numFmtId="2" fontId="16" fillId="0" borderId="0" xfId="10" applyNumberFormat="1" applyFont="1"/>
    <xf numFmtId="169" fontId="16" fillId="0" borderId="4" xfId="0" applyNumberFormat="1" applyFont="1" applyBorder="1" applyAlignment="1">
      <alignment vertical="center"/>
    </xf>
    <xf numFmtId="177" fontId="16" fillId="0" borderId="0" xfId="0" applyNumberFormat="1" applyFont="1" applyAlignment="1">
      <alignment vertical="center"/>
    </xf>
    <xf numFmtId="0" fontId="21" fillId="0" borderId="8" xfId="14" applyFont="1" applyBorder="1" applyAlignment="1">
      <alignment horizontal="center" vertical="center" wrapText="1"/>
    </xf>
    <xf numFmtId="0" fontId="16" fillId="0" borderId="7" xfId="10" applyFont="1" applyBorder="1" applyAlignment="1">
      <alignment horizontal="center" vertical="center" wrapText="1"/>
    </xf>
    <xf numFmtId="0" fontId="21" fillId="0" borderId="8" xfId="14" applyFont="1" applyBorder="1" applyAlignment="1">
      <alignment horizontal="center" vertical="center"/>
    </xf>
    <xf numFmtId="0" fontId="21" fillId="0" borderId="7" xfId="14" applyFont="1" applyBorder="1" applyAlignment="1">
      <alignment horizontal="center" vertical="center"/>
    </xf>
    <xf numFmtId="0" fontId="21" fillId="0" borderId="4" xfId="0" applyFont="1" applyBorder="1" applyAlignment="1">
      <alignment vertical="center" wrapText="1"/>
    </xf>
    <xf numFmtId="16" fontId="32" fillId="0" borderId="4" xfId="10" applyNumberFormat="1" applyFont="1" applyBorder="1" applyAlignment="1">
      <alignment horizontal="center" vertical="center" wrapText="1"/>
    </xf>
    <xf numFmtId="0" fontId="32" fillId="0" borderId="4" xfId="10" applyFont="1" applyBorder="1" applyAlignment="1">
      <alignment horizontal="center" vertical="center" wrapText="1"/>
    </xf>
    <xf numFmtId="173" fontId="16" fillId="0" borderId="0" xfId="14" applyNumberFormat="1" applyFont="1">
      <alignment vertical="center"/>
    </xf>
    <xf numFmtId="0" fontId="16" fillId="0" borderId="0" xfId="0" applyFont="1" applyAlignment="1">
      <alignment horizontal="center" vertical="top"/>
    </xf>
    <xf numFmtId="0" fontId="24" fillId="4" borderId="0" xfId="72" applyFont="1" applyFill="1" applyAlignment="1">
      <alignment vertical="center"/>
    </xf>
    <xf numFmtId="0" fontId="21" fillId="4" borderId="0" xfId="72" applyFont="1" applyFill="1" applyAlignment="1">
      <alignment vertical="center"/>
    </xf>
    <xf numFmtId="0" fontId="23" fillId="4" borderId="0" xfId="72" applyFont="1" applyFill="1" applyAlignment="1">
      <alignment vertical="center"/>
    </xf>
    <xf numFmtId="0" fontId="21" fillId="4" borderId="4" xfId="10" applyFont="1" applyFill="1" applyBorder="1" applyAlignment="1">
      <alignment horizontal="justify" vertical="center" wrapText="1"/>
    </xf>
    <xf numFmtId="168" fontId="16" fillId="0" borderId="4" xfId="72" applyNumberFormat="1" applyFont="1" applyBorder="1" applyAlignment="1">
      <alignment horizontal="center" vertical="center"/>
    </xf>
    <xf numFmtId="2" fontId="40" fillId="0" borderId="4" xfId="0" applyNumberFormat="1" applyFont="1" applyBorder="1" applyAlignment="1">
      <alignment horizontal="center" vertical="center"/>
    </xf>
    <xf numFmtId="0" fontId="21" fillId="0" borderId="0" xfId="0" applyFont="1" applyAlignment="1">
      <alignment horizontal="center" vertical="center"/>
    </xf>
    <xf numFmtId="0" fontId="47" fillId="0" borderId="0" xfId="10" applyFont="1" applyAlignment="1">
      <alignment horizontal="center" vertical="center"/>
    </xf>
    <xf numFmtId="171" fontId="16" fillId="0" borderId="0" xfId="14" applyNumberFormat="1" applyFont="1">
      <alignment vertical="center"/>
    </xf>
    <xf numFmtId="170" fontId="16" fillId="0" borderId="0" xfId="14" applyNumberFormat="1" applyFont="1">
      <alignment vertical="center"/>
    </xf>
    <xf numFmtId="0" fontId="47" fillId="0" borderId="0" xfId="0" applyFont="1" applyAlignment="1">
      <alignment horizontal="left" wrapText="1"/>
    </xf>
    <xf numFmtId="0" fontId="47" fillId="0" borderId="0" xfId="0" applyFont="1" applyAlignment="1">
      <alignment vertical="center"/>
    </xf>
    <xf numFmtId="43" fontId="47" fillId="0" borderId="0" xfId="94" applyFont="1" applyAlignment="1">
      <alignment vertical="center"/>
    </xf>
    <xf numFmtId="0" fontId="21" fillId="0" borderId="0" xfId="14" applyFont="1" applyAlignment="1">
      <alignment horizontal="left" wrapText="1"/>
    </xf>
    <xf numFmtId="0" fontId="21" fillId="0" borderId="4" xfId="0" applyFont="1" applyBorder="1" applyAlignment="1">
      <alignment horizontal="center" wrapText="1"/>
    </xf>
    <xf numFmtId="0" fontId="21" fillId="0" borderId="4" xfId="0" applyFont="1" applyBorder="1" applyAlignment="1">
      <alignment horizontal="left" wrapText="1"/>
    </xf>
    <xf numFmtId="0" fontId="8" fillId="0" borderId="4" xfId="0" applyFont="1" applyBorder="1" applyAlignment="1">
      <alignment horizontal="center" vertical="center"/>
    </xf>
    <xf numFmtId="43" fontId="8" fillId="0" borderId="4" xfId="0" applyNumberFormat="1" applyFont="1" applyBorder="1" applyAlignment="1">
      <alignment horizontal="center" vertical="center"/>
    </xf>
    <xf numFmtId="43" fontId="8" fillId="0" borderId="8" xfId="0" applyNumberFormat="1" applyFont="1" applyBorder="1" applyAlignment="1">
      <alignment horizontal="center" vertical="center"/>
    </xf>
    <xf numFmtId="0" fontId="16" fillId="0" borderId="4" xfId="0" applyFont="1" applyBorder="1" applyAlignment="1">
      <alignment horizontal="left" wrapText="1"/>
    </xf>
    <xf numFmtId="43" fontId="8" fillId="0" borderId="4" xfId="94" applyFont="1" applyBorder="1" applyAlignment="1">
      <alignment vertical="center"/>
    </xf>
    <xf numFmtId="43" fontId="13" fillId="0" borderId="4" xfId="94" applyFont="1" applyBorder="1" applyAlignment="1">
      <alignment vertical="center"/>
    </xf>
    <xf numFmtId="43" fontId="8" fillId="0" borderId="4" xfId="0" applyNumberFormat="1" applyFont="1" applyBorder="1" applyAlignment="1">
      <alignment vertical="center"/>
    </xf>
    <xf numFmtId="0" fontId="8" fillId="0" borderId="4" xfId="0" applyFont="1" applyBorder="1" applyAlignment="1">
      <alignment vertical="center"/>
    </xf>
    <xf numFmtId="0" fontId="13" fillId="0" borderId="4" xfId="0" applyFont="1" applyBorder="1" applyAlignment="1">
      <alignment vertical="center"/>
    </xf>
    <xf numFmtId="43" fontId="44" fillId="0" borderId="4" xfId="94" applyFont="1" applyBorder="1" applyAlignment="1">
      <alignment vertical="center"/>
    </xf>
    <xf numFmtId="43" fontId="45" fillId="0" borderId="8" xfId="94" applyFont="1" applyBorder="1" applyAlignment="1">
      <alignment vertical="center"/>
    </xf>
    <xf numFmtId="43" fontId="45" fillId="0" borderId="4" xfId="94" applyFont="1" applyBorder="1" applyAlignment="1">
      <alignment vertical="center"/>
    </xf>
    <xf numFmtId="43" fontId="46" fillId="0" borderId="4" xfId="94" applyFont="1" applyBorder="1" applyAlignment="1">
      <alignment vertical="center"/>
    </xf>
    <xf numFmtId="0" fontId="46" fillId="0" borderId="4" xfId="0" applyFont="1" applyBorder="1" applyAlignment="1">
      <alignment vertical="center"/>
    </xf>
    <xf numFmtId="43" fontId="44" fillId="0" borderId="4" xfId="94" applyFont="1" applyBorder="1" applyAlignment="1"/>
    <xf numFmtId="0" fontId="16" fillId="0" borderId="0" xfId="0" applyFont="1" applyAlignment="1">
      <alignment horizontal="left" wrapText="1"/>
    </xf>
    <xf numFmtId="43" fontId="16" fillId="0" borderId="0" xfId="0" applyNumberFormat="1" applyFont="1" applyAlignment="1">
      <alignment horizontal="left" wrapText="1"/>
    </xf>
    <xf numFmtId="0" fontId="16" fillId="0" borderId="7" xfId="0" applyFont="1" applyBorder="1" applyAlignment="1">
      <alignment horizontal="left" vertical="top"/>
    </xf>
    <xf numFmtId="0" fontId="16" fillId="0" borderId="7" xfId="0" applyFont="1" applyBorder="1" applyAlignment="1">
      <alignment horizontal="center" vertical="top"/>
    </xf>
    <xf numFmtId="43" fontId="16" fillId="0" borderId="0" xfId="94" applyFont="1" applyAlignment="1">
      <alignment vertical="center" wrapText="1"/>
    </xf>
    <xf numFmtId="43" fontId="16" fillId="0" borderId="4" xfId="94" applyFont="1" applyBorder="1" applyAlignment="1">
      <alignment vertical="center"/>
    </xf>
    <xf numFmtId="43" fontId="21" fillId="0" borderId="4" xfId="94" applyFont="1" applyBorder="1" applyAlignment="1">
      <alignment vertical="center"/>
    </xf>
    <xf numFmtId="43" fontId="16" fillId="0" borderId="4" xfId="94" applyFont="1" applyBorder="1" applyAlignment="1">
      <alignment horizontal="center" vertical="center"/>
    </xf>
    <xf numFmtId="0" fontId="16" fillId="0" borderId="8" xfId="0" applyFont="1" applyBorder="1" applyAlignment="1">
      <alignment vertical="center"/>
    </xf>
    <xf numFmtId="0" fontId="16" fillId="0" borderId="8" xfId="0" applyFont="1" applyBorder="1" applyAlignment="1">
      <alignment vertical="center" wrapText="1"/>
    </xf>
    <xf numFmtId="0" fontId="16" fillId="0" borderId="8" xfId="10" applyFont="1" applyBorder="1" applyAlignment="1">
      <alignment vertical="center" wrapText="1"/>
    </xf>
    <xf numFmtId="43" fontId="16" fillId="0" borderId="8" xfId="94" applyFont="1" applyBorder="1" applyAlignment="1">
      <alignment vertical="center"/>
    </xf>
    <xf numFmtId="2" fontId="16" fillId="0" borderId="4" xfId="10" applyNumberFormat="1" applyFont="1" applyBorder="1" applyAlignment="1">
      <alignment vertical="center" wrapText="1"/>
    </xf>
    <xf numFmtId="0" fontId="16" fillId="0" borderId="8" xfId="0" applyFont="1" applyBorder="1" applyAlignment="1">
      <alignment horizontal="center" vertical="center" wrapText="1"/>
    </xf>
    <xf numFmtId="2" fontId="16" fillId="0" borderId="0" xfId="14" applyNumberFormat="1" applyFont="1">
      <alignment vertical="center"/>
    </xf>
    <xf numFmtId="0" fontId="16" fillId="0" borderId="0" xfId="14" applyFont="1" applyAlignment="1">
      <alignment horizontal="center" vertical="center"/>
    </xf>
    <xf numFmtId="0" fontId="21" fillId="0" borderId="8" xfId="0" applyFont="1" applyBorder="1" applyAlignment="1">
      <alignment horizontal="center" vertical="center"/>
    </xf>
    <xf numFmtId="2" fontId="16" fillId="0" borderId="4" xfId="0" applyNumberFormat="1" applyFont="1" applyBorder="1" applyAlignment="1">
      <alignment horizontal="center" vertical="center"/>
    </xf>
    <xf numFmtId="174" fontId="16" fillId="0" borderId="4" xfId="0" applyNumberFormat="1" applyFont="1" applyBorder="1" applyAlignment="1">
      <alignment horizontal="center" vertical="center"/>
    </xf>
    <xf numFmtId="174" fontId="16" fillId="0" borderId="4" xfId="0" applyNumberFormat="1" applyFont="1" applyBorder="1" applyAlignment="1">
      <alignment vertical="center"/>
    </xf>
    <xf numFmtId="2" fontId="21" fillId="6" borderId="4" xfId="0" applyNumberFormat="1" applyFont="1" applyFill="1" applyBorder="1" applyAlignment="1">
      <alignment horizontal="right" vertical="center"/>
    </xf>
    <xf numFmtId="171" fontId="16" fillId="0" borderId="4" xfId="0" applyNumberFormat="1" applyFont="1" applyBorder="1" applyAlignment="1">
      <alignment horizontal="center" vertical="center"/>
    </xf>
    <xf numFmtId="177" fontId="16" fillId="0" borderId="4" xfId="0" applyNumberFormat="1" applyFont="1" applyBorder="1" applyAlignment="1">
      <alignment horizontal="center" vertical="center"/>
    </xf>
    <xf numFmtId="2" fontId="16" fillId="0" borderId="4" xfId="0" applyNumberFormat="1" applyFont="1" applyBorder="1" applyAlignment="1">
      <alignment horizontal="right" vertical="center"/>
    </xf>
    <xf numFmtId="0" fontId="21" fillId="0" borderId="10" xfId="0" applyFont="1" applyBorder="1" applyAlignment="1">
      <alignment vertical="center" wrapText="1"/>
    </xf>
    <xf numFmtId="2" fontId="21" fillId="0" borderId="4" xfId="0" applyNumberFormat="1" applyFont="1" applyBorder="1" applyAlignment="1">
      <alignment horizontal="right" vertical="center"/>
    </xf>
    <xf numFmtId="0" fontId="16" fillId="0" borderId="0" xfId="14" applyFont="1" applyAlignment="1">
      <alignment vertical="center" wrapText="1"/>
    </xf>
    <xf numFmtId="0" fontId="47" fillId="0" borderId="4" xfId="10" applyFont="1" applyBorder="1" applyAlignment="1">
      <alignment horizontal="center" vertical="center" wrapText="1"/>
    </xf>
    <xf numFmtId="0" fontId="21" fillId="0" borderId="0" xfId="0" applyFont="1" applyAlignment="1">
      <alignment horizontal="left" wrapText="1"/>
    </xf>
    <xf numFmtId="43" fontId="21" fillId="0" borderId="0" xfId="94" applyFont="1" applyBorder="1" applyAlignment="1">
      <alignment vertical="top"/>
    </xf>
    <xf numFmtId="43" fontId="16" fillId="0" borderId="11" xfId="94" applyFont="1" applyBorder="1" applyAlignment="1">
      <alignment vertical="center"/>
    </xf>
    <xf numFmtId="43" fontId="16" fillId="0" borderId="7" xfId="94" applyFont="1" applyBorder="1" applyAlignment="1">
      <alignment vertical="center"/>
    </xf>
    <xf numFmtId="43" fontId="64" fillId="0" borderId="11" xfId="94" applyFont="1" applyBorder="1" applyAlignment="1">
      <alignment vertical="center"/>
    </xf>
    <xf numFmtId="43" fontId="64" fillId="0" borderId="7" xfId="94" applyFont="1" applyBorder="1" applyAlignment="1">
      <alignment vertical="center"/>
    </xf>
    <xf numFmtId="0" fontId="16" fillId="0" borderId="8" xfId="10" applyFont="1" applyBorder="1" applyAlignment="1">
      <alignment vertical="center"/>
    </xf>
    <xf numFmtId="2" fontId="16" fillId="0" borderId="0" xfId="10" applyNumberFormat="1" applyFont="1" applyAlignment="1">
      <alignment vertical="center" wrapText="1"/>
    </xf>
    <xf numFmtId="0" fontId="21" fillId="0" borderId="8" xfId="10" applyFont="1" applyBorder="1" applyAlignment="1">
      <alignment horizontal="center" vertical="center" wrapText="1"/>
    </xf>
    <xf numFmtId="43" fontId="16" fillId="0" borderId="8" xfId="94" applyFont="1" applyBorder="1" applyAlignment="1">
      <alignment horizontal="center" vertical="center"/>
    </xf>
    <xf numFmtId="43" fontId="16" fillId="0" borderId="11" xfId="94" applyFont="1" applyBorder="1" applyAlignment="1">
      <alignment horizontal="center" vertical="center"/>
    </xf>
    <xf numFmtId="43" fontId="16" fillId="0" borderId="7" xfId="94" applyFont="1" applyBorder="1" applyAlignment="1">
      <alignment horizontal="center" vertical="center"/>
    </xf>
    <xf numFmtId="0" fontId="16" fillId="0" borderId="8" xfId="10" applyFont="1" applyBorder="1" applyAlignment="1">
      <alignment horizontal="center" vertical="center"/>
    </xf>
    <xf numFmtId="0" fontId="16" fillId="0" borderId="7" xfId="0" applyFont="1" applyBorder="1" applyAlignment="1">
      <alignment horizontal="center" vertical="center"/>
    </xf>
    <xf numFmtId="0" fontId="16" fillId="0" borderId="7" xfId="0" applyFont="1" applyBorder="1" applyAlignment="1">
      <alignment horizontal="center" vertical="center" wrapText="1"/>
    </xf>
    <xf numFmtId="43" fontId="16" fillId="5" borderId="7" xfId="94" applyFont="1" applyFill="1" applyBorder="1" applyAlignment="1">
      <alignment horizontal="center" vertical="center"/>
    </xf>
    <xf numFmtId="43" fontId="64" fillId="5" borderId="11" xfId="94" applyFont="1" applyFill="1" applyBorder="1" applyAlignment="1">
      <alignment horizontal="center" vertical="center"/>
    </xf>
    <xf numFmtId="43" fontId="64" fillId="5" borderId="7" xfId="94" applyFont="1" applyFill="1" applyBorder="1" applyAlignment="1">
      <alignment horizontal="center" vertical="center"/>
    </xf>
    <xf numFmtId="43" fontId="64" fillId="0" borderId="11" xfId="94" applyFont="1" applyBorder="1" applyAlignment="1">
      <alignment horizontal="center" vertical="center"/>
    </xf>
    <xf numFmtId="43" fontId="64" fillId="0" borderId="7" xfId="94" applyFont="1" applyBorder="1" applyAlignment="1">
      <alignment horizontal="center" vertical="center"/>
    </xf>
    <xf numFmtId="43" fontId="44" fillId="0" borderId="8" xfId="94" applyFont="1" applyBorder="1" applyAlignment="1">
      <alignment vertical="center"/>
    </xf>
    <xf numFmtId="43" fontId="45" fillId="0" borderId="0" xfId="94" applyFont="1" applyBorder="1" applyAlignment="1">
      <alignment vertical="center"/>
    </xf>
    <xf numFmtId="0" fontId="21" fillId="0" borderId="10" xfId="14" applyFont="1" applyBorder="1" applyAlignment="1">
      <alignment horizontal="center" vertical="center" wrapText="1"/>
    </xf>
    <xf numFmtId="0" fontId="21" fillId="0" borderId="6" xfId="10" applyFont="1" applyBorder="1" applyAlignment="1">
      <alignment horizontal="center" vertical="center"/>
    </xf>
    <xf numFmtId="2" fontId="16" fillId="6" borderId="10" xfId="14" applyNumberFormat="1" applyFont="1" applyFill="1" applyBorder="1">
      <alignment vertical="center"/>
    </xf>
    <xf numFmtId="10" fontId="16" fillId="0" borderId="4" xfId="114" applyNumberFormat="1" applyFont="1" applyFill="1" applyBorder="1" applyAlignment="1">
      <alignment vertical="center"/>
    </xf>
    <xf numFmtId="10" fontId="16" fillId="0" borderId="4" xfId="42" applyNumberFormat="1" applyFont="1" applyFill="1" applyBorder="1" applyAlignment="1">
      <alignment vertical="center"/>
    </xf>
    <xf numFmtId="0" fontId="16" fillId="0" borderId="4" xfId="71" applyFont="1" applyBorder="1" applyAlignment="1">
      <alignment horizontal="left" vertical="center" wrapText="1"/>
    </xf>
    <xf numFmtId="43" fontId="16" fillId="0" borderId="8" xfId="94" applyFont="1" applyFill="1" applyBorder="1" applyAlignment="1">
      <alignment horizontal="center" vertical="center"/>
    </xf>
    <xf numFmtId="43" fontId="45" fillId="0" borderId="8" xfId="94" applyFont="1" applyFill="1" applyBorder="1" applyAlignment="1">
      <alignment vertical="center"/>
    </xf>
    <xf numFmtId="43" fontId="8" fillId="0" borderId="4" xfId="94" applyFont="1" applyFill="1" applyBorder="1" applyAlignment="1">
      <alignment vertical="center"/>
    </xf>
    <xf numFmtId="0" fontId="16" fillId="0" borderId="8" xfId="0" applyFont="1" applyBorder="1" applyAlignment="1">
      <alignment horizontal="left" vertical="center" wrapText="1"/>
    </xf>
    <xf numFmtId="0" fontId="16" fillId="0" borderId="7" xfId="0" applyFont="1" applyBorder="1" applyAlignment="1">
      <alignment horizontal="left" vertical="center" wrapText="1"/>
    </xf>
    <xf numFmtId="0" fontId="47" fillId="0" borderId="4" xfId="0" applyFont="1" applyBorder="1" applyAlignment="1">
      <alignment horizontal="center" wrapText="1"/>
    </xf>
    <xf numFmtId="0" fontId="0" fillId="0" borderId="0" xfId="0" applyAlignment="1">
      <alignment wrapText="1"/>
    </xf>
    <xf numFmtId="0" fontId="21" fillId="0" borderId="8" xfId="10" applyFont="1" applyBorder="1" applyAlignment="1">
      <alignment horizontal="left" vertical="center"/>
    </xf>
    <xf numFmtId="0" fontId="16" fillId="5" borderId="7" xfId="0" applyFont="1" applyFill="1" applyBorder="1" applyAlignment="1">
      <alignment horizontal="left" vertical="center" wrapText="1"/>
    </xf>
    <xf numFmtId="0" fontId="21" fillId="0" borderId="4" xfId="0" applyFont="1" applyBorder="1" applyAlignment="1">
      <alignment horizontal="left" vertical="center" wrapText="1"/>
    </xf>
    <xf numFmtId="2" fontId="21" fillId="0" borderId="4" xfId="10" applyNumberFormat="1" applyFont="1" applyBorder="1" applyAlignment="1">
      <alignment horizontal="left" vertical="center" wrapText="1"/>
    </xf>
    <xf numFmtId="10" fontId="16" fillId="5" borderId="10" xfId="14" applyNumberFormat="1" applyFont="1" applyFill="1" applyBorder="1">
      <alignment vertical="center"/>
    </xf>
    <xf numFmtId="0" fontId="9" fillId="0" borderId="4" xfId="0" applyFont="1" applyBorder="1" applyAlignment="1">
      <alignment horizontal="center" vertical="center"/>
    </xf>
    <xf numFmtId="2" fontId="0" fillId="0" borderId="4" xfId="0" applyNumberFormat="1" applyBorder="1" applyAlignment="1">
      <alignment horizontal="center"/>
    </xf>
    <xf numFmtId="2" fontId="21" fillId="0" borderId="0" xfId="0" applyNumberFormat="1" applyFont="1" applyAlignment="1">
      <alignment vertical="center"/>
    </xf>
    <xf numFmtId="2" fontId="16" fillId="0" borderId="0" xfId="35" applyNumberFormat="1" applyFont="1" applyAlignment="1">
      <alignment vertical="center"/>
    </xf>
    <xf numFmtId="2" fontId="16" fillId="0" borderId="0" xfId="35" applyNumberFormat="1" applyFont="1" applyAlignment="1">
      <alignment vertical="center" wrapText="1"/>
    </xf>
    <xf numFmtId="0" fontId="16" fillId="0" borderId="0" xfId="35" applyFont="1" applyAlignment="1">
      <alignment vertical="center"/>
    </xf>
    <xf numFmtId="2" fontId="21" fillId="0" borderId="0" xfId="35" applyNumberFormat="1" applyFont="1" applyAlignment="1">
      <alignment horizontal="right" vertical="center" wrapText="1"/>
    </xf>
    <xf numFmtId="2" fontId="16" fillId="0" borderId="0" xfId="35" applyNumberFormat="1" applyFont="1" applyAlignment="1">
      <alignment horizontal="center" vertical="center"/>
    </xf>
    <xf numFmtId="2" fontId="21" fillId="0" borderId="4" xfId="35" applyNumberFormat="1" applyFont="1" applyBorder="1" applyAlignment="1">
      <alignment horizontal="center" vertical="center" wrapText="1"/>
    </xf>
    <xf numFmtId="0" fontId="21" fillId="0" borderId="4" xfId="35" applyFont="1" applyBorder="1" applyAlignment="1">
      <alignment horizontal="center" vertical="center" wrapText="1"/>
    </xf>
    <xf numFmtId="2" fontId="16" fillId="0" borderId="0" xfId="35" applyNumberFormat="1" applyFont="1" applyAlignment="1">
      <alignment horizontal="center" vertical="center" wrapText="1"/>
    </xf>
    <xf numFmtId="2" fontId="21" fillId="0" borderId="4" xfId="35" quotePrefix="1" applyNumberFormat="1" applyFont="1" applyBorder="1" applyAlignment="1">
      <alignment horizontal="center" vertical="center" wrapText="1"/>
    </xf>
    <xf numFmtId="2" fontId="21" fillId="0" borderId="4" xfId="35" applyNumberFormat="1" applyFont="1" applyBorder="1" applyAlignment="1">
      <alignment horizontal="justify" vertical="center" wrapText="1"/>
    </xf>
    <xf numFmtId="2" fontId="21" fillId="0" borderId="4" xfId="35" applyNumberFormat="1" applyFont="1" applyBorder="1" applyAlignment="1">
      <alignment horizontal="justify" vertical="center"/>
    </xf>
    <xf numFmtId="0" fontId="21" fillId="6" borderId="4" xfId="82" applyNumberFormat="1" applyFont="1" applyFill="1" applyBorder="1" applyAlignment="1">
      <alignment horizontal="right" vertical="center"/>
    </xf>
    <xf numFmtId="2" fontId="21" fillId="6" borderId="4" xfId="82" applyNumberFormat="1" applyFont="1" applyFill="1" applyBorder="1" applyAlignment="1">
      <alignment horizontal="right" vertical="center"/>
    </xf>
    <xf numFmtId="2" fontId="21" fillId="0" borderId="4" xfId="82" applyNumberFormat="1" applyFont="1" applyFill="1" applyBorder="1" applyAlignment="1">
      <alignment horizontal="right" vertical="center"/>
    </xf>
    <xf numFmtId="2" fontId="16" fillId="6" borderId="4" xfId="82" applyNumberFormat="1" applyFont="1" applyFill="1" applyBorder="1" applyAlignment="1">
      <alignment horizontal="right" vertical="center"/>
    </xf>
    <xf numFmtId="2" fontId="21" fillId="0" borderId="4" xfId="35" applyNumberFormat="1" applyFont="1" applyBorder="1" applyAlignment="1">
      <alignment vertical="center" wrapText="1"/>
    </xf>
    <xf numFmtId="2" fontId="21" fillId="0" borderId="0" xfId="35" applyNumberFormat="1" applyFont="1" applyAlignment="1">
      <alignment vertical="center"/>
    </xf>
    <xf numFmtId="2" fontId="16" fillId="0" borderId="4" xfId="35" applyNumberFormat="1" applyFont="1" applyBorder="1" applyAlignment="1">
      <alignment horizontal="center" vertical="center"/>
    </xf>
    <xf numFmtId="2" fontId="16" fillId="0" borderId="4" xfId="35" applyNumberFormat="1" applyFont="1" applyBorder="1" applyAlignment="1">
      <alignment vertical="center" wrapText="1"/>
    </xf>
    <xf numFmtId="2" fontId="16" fillId="0" borderId="4" xfId="41" applyNumberFormat="1" applyFont="1" applyBorder="1" applyAlignment="1">
      <alignment vertical="center"/>
    </xf>
    <xf numFmtId="0" fontId="16" fillId="0" borderId="4" xfId="82" applyNumberFormat="1" applyFont="1" applyFill="1" applyBorder="1" applyAlignment="1">
      <alignment horizontal="right" vertical="center"/>
    </xf>
    <xf numFmtId="2" fontId="16" fillId="0" borderId="4" xfId="82" applyNumberFormat="1" applyFont="1" applyFill="1" applyBorder="1" applyAlignment="1">
      <alignment horizontal="right" vertical="center"/>
    </xf>
    <xf numFmtId="2" fontId="16" fillId="0" borderId="4" xfId="41" applyNumberFormat="1" applyFont="1" applyBorder="1" applyAlignment="1">
      <alignment vertical="center" wrapText="1"/>
    </xf>
    <xf numFmtId="2" fontId="21" fillId="0" borderId="4" xfId="35" applyNumberFormat="1" applyFont="1" applyBorder="1" applyAlignment="1">
      <alignment horizontal="center" vertical="center"/>
    </xf>
    <xf numFmtId="2" fontId="21" fillId="0" borderId="4" xfId="41" applyNumberFormat="1" applyFont="1" applyBorder="1" applyAlignment="1">
      <alignment vertical="center" wrapText="1"/>
    </xf>
    <xf numFmtId="2" fontId="21" fillId="0" borderId="4" xfId="41" applyNumberFormat="1" applyFont="1" applyBorder="1" applyAlignment="1">
      <alignment vertical="center"/>
    </xf>
    <xf numFmtId="0" fontId="21" fillId="0" borderId="4" xfId="82" applyNumberFormat="1" applyFont="1" applyFill="1" applyBorder="1" applyAlignment="1">
      <alignment horizontal="right" vertical="center"/>
    </xf>
    <xf numFmtId="2" fontId="21" fillId="0" borderId="4" xfId="0" applyNumberFormat="1" applyFont="1" applyBorder="1" applyAlignment="1">
      <alignment horizontal="center" vertical="center"/>
    </xf>
    <xf numFmtId="2" fontId="16" fillId="0" borderId="4" xfId="0" applyNumberFormat="1" applyFont="1" applyBorder="1" applyAlignment="1">
      <alignment vertical="center" wrapText="1"/>
    </xf>
    <xf numFmtId="0" fontId="21" fillId="6" borderId="4" xfId="82" applyNumberFormat="1" applyFont="1" applyFill="1" applyBorder="1" applyAlignment="1">
      <alignment horizontal="right" vertical="center" wrapText="1"/>
    </xf>
    <xf numFmtId="2" fontId="21" fillId="6" borderId="4" xfId="82" applyNumberFormat="1" applyFont="1" applyFill="1" applyBorder="1" applyAlignment="1">
      <alignment horizontal="right" vertical="center" wrapText="1"/>
    </xf>
    <xf numFmtId="2" fontId="21" fillId="0" borderId="4" xfId="82" applyNumberFormat="1" applyFont="1" applyFill="1" applyBorder="1" applyAlignment="1">
      <alignment horizontal="right" vertical="center" wrapText="1"/>
    </xf>
    <xf numFmtId="2" fontId="21" fillId="0" borderId="0" xfId="42" applyNumberFormat="1" applyFont="1" applyFill="1" applyBorder="1" applyAlignment="1">
      <alignment vertical="center"/>
    </xf>
    <xf numFmtId="2" fontId="16" fillId="0" borderId="0" xfId="42" applyNumberFormat="1" applyFont="1" applyFill="1" applyBorder="1" applyAlignment="1">
      <alignment vertical="center"/>
    </xf>
    <xf numFmtId="2" fontId="16" fillId="0" borderId="4" xfId="41" applyNumberFormat="1" applyFont="1" applyBorder="1" applyAlignment="1">
      <alignment horizontal="justify" vertical="center"/>
    </xf>
    <xf numFmtId="2" fontId="16" fillId="0" borderId="4" xfId="35" applyNumberFormat="1" applyFont="1" applyBorder="1" applyAlignment="1">
      <alignment vertical="center"/>
    </xf>
    <xf numFmtId="2" fontId="21" fillId="0" borderId="4" xfId="0" applyNumberFormat="1" applyFont="1" applyBorder="1" applyAlignment="1">
      <alignment vertical="center" wrapText="1"/>
    </xf>
    <xf numFmtId="2" fontId="21" fillId="0" borderId="4" xfId="35" applyNumberFormat="1" applyFont="1" applyBorder="1" applyAlignment="1">
      <alignment vertical="center"/>
    </xf>
    <xf numFmtId="2" fontId="21" fillId="0" borderId="4" xfId="41" applyNumberFormat="1" applyFont="1" applyBorder="1" applyAlignment="1">
      <alignment horizontal="justify" vertical="center" wrapText="1"/>
    </xf>
    <xf numFmtId="0" fontId="21" fillId="0" borderId="4" xfId="35" applyFont="1" applyBorder="1" applyAlignment="1">
      <alignment vertical="center" wrapText="1"/>
    </xf>
    <xf numFmtId="2" fontId="21" fillId="0" borderId="4" xfId="0" quotePrefix="1" applyNumberFormat="1" applyFont="1" applyBorder="1" applyAlignment="1">
      <alignment horizontal="center" vertical="center"/>
    </xf>
    <xf numFmtId="0" fontId="21" fillId="6" borderId="4" xfId="35" applyFont="1" applyFill="1" applyBorder="1" applyAlignment="1">
      <alignment vertical="center" wrapText="1"/>
    </xf>
    <xf numFmtId="2" fontId="21" fillId="6" borderId="4" xfId="35" applyNumberFormat="1" applyFont="1" applyFill="1" applyBorder="1" applyAlignment="1">
      <alignment vertical="center" wrapText="1"/>
    </xf>
    <xf numFmtId="2" fontId="16" fillId="0" borderId="4" xfId="0" quotePrefix="1" applyNumberFormat="1" applyFont="1" applyBorder="1" applyAlignment="1">
      <alignment horizontal="center" vertical="center"/>
    </xf>
    <xf numFmtId="0" fontId="48" fillId="0" borderId="0" xfId="0" applyFont="1" applyAlignment="1">
      <alignment vertical="center"/>
    </xf>
    <xf numFmtId="178" fontId="43" fillId="0" borderId="4" xfId="0" applyNumberFormat="1" applyFont="1" applyBorder="1" applyAlignment="1">
      <alignment horizontal="center" vertical="center" wrapText="1"/>
    </xf>
    <xf numFmtId="0" fontId="21" fillId="0" borderId="3" xfId="10" applyFont="1" applyBorder="1" applyAlignment="1">
      <alignment vertical="center"/>
    </xf>
    <xf numFmtId="0" fontId="21" fillId="0" borderId="10" xfId="10" applyFont="1" applyBorder="1" applyAlignment="1">
      <alignment vertical="center"/>
    </xf>
    <xf numFmtId="0" fontId="21" fillId="0" borderId="4" xfId="14" applyFont="1" applyBorder="1" applyAlignment="1">
      <alignment horizontal="center" vertical="center"/>
    </xf>
    <xf numFmtId="2" fontId="21" fillId="0" borderId="4" xfId="14" applyNumberFormat="1" applyFont="1" applyBorder="1">
      <alignment vertical="center"/>
    </xf>
    <xf numFmtId="43" fontId="16" fillId="0" borderId="8" xfId="94" applyFont="1" applyBorder="1" applyAlignment="1">
      <alignment horizontal="center" vertical="center"/>
    </xf>
    <xf numFmtId="43" fontId="16" fillId="5" borderId="8" xfId="94" applyFont="1" applyFill="1" applyBorder="1" applyAlignment="1">
      <alignment horizontal="center" vertical="center"/>
    </xf>
    <xf numFmtId="0" fontId="65" fillId="0" borderId="0" xfId="14" applyFont="1">
      <alignment vertical="center"/>
    </xf>
    <xf numFmtId="0" fontId="65" fillId="0" borderId="4" xfId="14" applyFont="1" applyBorder="1" applyAlignment="1">
      <alignment horizontal="center" vertical="center"/>
    </xf>
    <xf numFmtId="0" fontId="29" fillId="0" borderId="0" xfId="0" applyFont="1" applyAlignment="1">
      <alignment horizontal="center" vertical="center"/>
    </xf>
    <xf numFmtId="0" fontId="13" fillId="0" borderId="0" xfId="10" applyFont="1" applyAlignment="1">
      <alignment horizontal="center" vertical="center" wrapText="1"/>
    </xf>
    <xf numFmtId="0" fontId="8" fillId="0" borderId="0" xfId="10" applyFont="1" applyAlignment="1">
      <alignment horizontal="center" vertical="center" wrapText="1"/>
    </xf>
    <xf numFmtId="0" fontId="21" fillId="0" borderId="4" xfId="10" applyFont="1" applyBorder="1" applyAlignment="1">
      <alignment horizontal="center" vertical="center" wrapText="1"/>
    </xf>
    <xf numFmtId="0" fontId="21" fillId="0" borderId="4" xfId="10" applyFont="1" applyBorder="1" applyAlignment="1">
      <alignment horizontal="center" vertical="center"/>
    </xf>
    <xf numFmtId="0" fontId="21" fillId="0" borderId="8" xfId="14" applyFont="1" applyBorder="1" applyAlignment="1">
      <alignment horizontal="center" vertical="center" wrapText="1"/>
    </xf>
    <xf numFmtId="0" fontId="21" fillId="0" borderId="7" xfId="14" applyFont="1" applyBorder="1" applyAlignment="1">
      <alignment horizontal="center" vertical="center" wrapText="1"/>
    </xf>
    <xf numFmtId="0" fontId="21" fillId="0" borderId="0" xfId="10" applyFont="1" applyAlignment="1">
      <alignment horizontal="left" vertical="center"/>
    </xf>
    <xf numFmtId="0" fontId="21" fillId="0" borderId="8" xfId="10" applyFont="1" applyBorder="1" applyAlignment="1">
      <alignment horizontal="center" vertical="center" wrapText="1"/>
    </xf>
    <xf numFmtId="0" fontId="21" fillId="0" borderId="11" xfId="10" applyFont="1" applyBorder="1" applyAlignment="1">
      <alignment horizontal="center" vertical="center" wrapText="1"/>
    </xf>
    <xf numFmtId="0" fontId="21" fillId="0" borderId="7" xfId="10" applyFont="1" applyBorder="1" applyAlignment="1">
      <alignment horizontal="center" vertical="center" wrapText="1"/>
    </xf>
    <xf numFmtId="0" fontId="21" fillId="0" borderId="11" xfId="14" applyFont="1" applyBorder="1" applyAlignment="1">
      <alignment horizontal="center" vertical="center" wrapText="1"/>
    </xf>
    <xf numFmtId="0" fontId="16" fillId="0" borderId="7" xfId="10" applyFont="1" applyBorder="1" applyAlignment="1">
      <alignment horizontal="center" vertical="center" wrapText="1"/>
    </xf>
    <xf numFmtId="0" fontId="21" fillId="0" borderId="4" xfId="14" applyFont="1" applyBorder="1" applyAlignment="1">
      <alignment horizontal="center" vertical="center"/>
    </xf>
    <xf numFmtId="0" fontId="16" fillId="0" borderId="4" xfId="10" applyFont="1" applyBorder="1" applyAlignment="1">
      <alignment horizontal="center" vertical="center"/>
    </xf>
    <xf numFmtId="0" fontId="21" fillId="0" borderId="0" xfId="14" applyFont="1" applyAlignment="1">
      <alignment horizontal="center" vertical="center"/>
    </xf>
    <xf numFmtId="0" fontId="21" fillId="0" borderId="0" xfId="10" applyFont="1" applyAlignment="1">
      <alignment horizontal="center" vertical="center"/>
    </xf>
    <xf numFmtId="43" fontId="16" fillId="0" borderId="8" xfId="94" applyFont="1" applyBorder="1" applyAlignment="1">
      <alignment horizontal="center" vertical="center"/>
    </xf>
    <xf numFmtId="43" fontId="16" fillId="0" borderId="7" xfId="94" applyFont="1" applyBorder="1" applyAlignment="1">
      <alignment horizontal="center" vertical="center"/>
    </xf>
    <xf numFmtId="0" fontId="16" fillId="0" borderId="8" xfId="10" applyFont="1" applyBorder="1" applyAlignment="1">
      <alignment horizontal="center" vertical="center"/>
    </xf>
    <xf numFmtId="0" fontId="16" fillId="0" borderId="11" xfId="10" applyFont="1" applyBorder="1" applyAlignment="1">
      <alignment horizontal="center" vertical="center"/>
    </xf>
    <xf numFmtId="0" fontId="16" fillId="0" borderId="7" xfId="10" applyFont="1" applyBorder="1" applyAlignment="1">
      <alignment horizontal="center" vertical="center"/>
    </xf>
    <xf numFmtId="0" fontId="16" fillId="0" borderId="8" xfId="0" applyFont="1" applyBorder="1" applyAlignment="1">
      <alignment horizontal="center" vertical="center"/>
    </xf>
    <xf numFmtId="0" fontId="16" fillId="0" borderId="11"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left" vertical="center" wrapText="1"/>
    </xf>
    <xf numFmtId="0" fontId="16" fillId="0" borderId="11" xfId="0" applyFont="1" applyBorder="1" applyAlignment="1">
      <alignment horizontal="left" vertical="center" wrapText="1"/>
    </xf>
    <xf numFmtId="0" fontId="16" fillId="0" borderId="7" xfId="0" applyFont="1" applyBorder="1" applyAlignment="1">
      <alignment horizontal="left" vertical="center" wrapText="1"/>
    </xf>
    <xf numFmtId="0" fontId="16" fillId="0" borderId="8" xfId="10" applyFont="1" applyBorder="1" applyAlignment="1">
      <alignment horizontal="center" vertical="center" wrapText="1"/>
    </xf>
    <xf numFmtId="0" fontId="16" fillId="0" borderId="11" xfId="10" applyFont="1" applyBorder="1" applyAlignment="1">
      <alignment horizontal="center" vertical="center" wrapText="1"/>
    </xf>
    <xf numFmtId="43" fontId="16" fillId="0" borderId="11" xfId="94" applyFont="1" applyBorder="1" applyAlignment="1">
      <alignment horizontal="center" vertical="center"/>
    </xf>
    <xf numFmtId="43" fontId="64" fillId="5" borderId="8" xfId="94" applyFont="1" applyFill="1" applyBorder="1" applyAlignment="1">
      <alignment horizontal="center" vertical="center"/>
    </xf>
    <xf numFmtId="43" fontId="64" fillId="5" borderId="11" xfId="94" applyFont="1" applyFill="1" applyBorder="1" applyAlignment="1">
      <alignment horizontal="center" vertical="center"/>
    </xf>
    <xf numFmtId="43" fontId="64" fillId="5" borderId="7" xfId="94" applyFont="1" applyFill="1" applyBorder="1" applyAlignment="1">
      <alignment horizontal="center" vertical="center"/>
    </xf>
    <xf numFmtId="0" fontId="16" fillId="5" borderId="8" xfId="0" applyFont="1" applyFill="1" applyBorder="1" applyAlignment="1">
      <alignment horizontal="left" vertical="center" wrapText="1"/>
    </xf>
    <xf numFmtId="0" fontId="16" fillId="5" borderId="11" xfId="0" applyFont="1" applyFill="1" applyBorder="1" applyAlignment="1">
      <alignment horizontal="left" vertical="center" wrapText="1"/>
    </xf>
    <xf numFmtId="0" fontId="16" fillId="5" borderId="7" xfId="0" applyFont="1" applyFill="1" applyBorder="1" applyAlignment="1">
      <alignment horizontal="left" vertical="center" wrapText="1"/>
    </xf>
    <xf numFmtId="43" fontId="16" fillId="5" borderId="8" xfId="94" applyFont="1" applyFill="1" applyBorder="1" applyAlignment="1">
      <alignment horizontal="center" vertical="center"/>
    </xf>
    <xf numFmtId="43" fontId="16" fillId="5" borderId="11" xfId="94" applyFont="1" applyFill="1" applyBorder="1" applyAlignment="1">
      <alignment horizontal="center" vertical="center"/>
    </xf>
    <xf numFmtId="43" fontId="16" fillId="5" borderId="7" xfId="94" applyFont="1" applyFill="1" applyBorder="1" applyAlignment="1">
      <alignment horizontal="center" vertical="center"/>
    </xf>
    <xf numFmtId="0" fontId="16" fillId="0" borderId="8"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7" xfId="0" applyFont="1" applyBorder="1" applyAlignment="1">
      <alignment horizontal="center" vertical="center" wrapText="1"/>
    </xf>
    <xf numFmtId="0" fontId="21" fillId="4" borderId="20" xfId="71" applyFont="1" applyFill="1" applyBorder="1" applyAlignment="1">
      <alignment horizontal="center" vertical="center"/>
    </xf>
    <xf numFmtId="0" fontId="21" fillId="4" borderId="21" xfId="71" applyFont="1" applyFill="1" applyBorder="1" applyAlignment="1">
      <alignment horizontal="center" vertical="center"/>
    </xf>
    <xf numFmtId="0" fontId="21" fillId="4" borderId="22" xfId="71" applyFont="1" applyFill="1" applyBorder="1" applyAlignment="1">
      <alignment horizontal="center" vertical="center"/>
    </xf>
    <xf numFmtId="0" fontId="21" fillId="4" borderId="4" xfId="71" applyFont="1" applyFill="1" applyBorder="1" applyAlignment="1">
      <alignment horizontal="center" vertical="center" wrapText="1"/>
    </xf>
    <xf numFmtId="0" fontId="21" fillId="4" borderId="13" xfId="71" applyFont="1" applyFill="1" applyBorder="1" applyAlignment="1">
      <alignment horizontal="center" vertical="center" wrapText="1"/>
    </xf>
    <xf numFmtId="0" fontId="21" fillId="4" borderId="5" xfId="71" applyFont="1" applyFill="1" applyBorder="1" applyAlignment="1">
      <alignment horizontal="center" vertical="center" wrapText="1"/>
    </xf>
    <xf numFmtId="0" fontId="21" fillId="4" borderId="38" xfId="71" applyFont="1" applyFill="1" applyBorder="1" applyAlignment="1">
      <alignment horizontal="center" vertical="center" wrapText="1"/>
    </xf>
    <xf numFmtId="0" fontId="21" fillId="4" borderId="4" xfId="71" quotePrefix="1" applyFont="1" applyFill="1" applyBorder="1" applyAlignment="1">
      <alignment horizontal="center" vertical="center" wrapText="1"/>
    </xf>
    <xf numFmtId="0" fontId="21" fillId="4" borderId="8" xfId="71" quotePrefix="1" applyFont="1" applyFill="1" applyBorder="1" applyAlignment="1">
      <alignment horizontal="center" vertical="center" wrapText="1"/>
    </xf>
    <xf numFmtId="0" fontId="21" fillId="4" borderId="8" xfId="71" applyFont="1" applyFill="1" applyBorder="1" applyAlignment="1">
      <alignment horizontal="center" vertical="center" wrapText="1"/>
    </xf>
    <xf numFmtId="0" fontId="16" fillId="0" borderId="0" xfId="10" applyFont="1" applyAlignment="1">
      <alignment horizontal="left" vertical="center" wrapText="1"/>
    </xf>
    <xf numFmtId="0" fontId="21" fillId="0" borderId="6" xfId="14" applyFont="1" applyBorder="1" applyAlignment="1">
      <alignment horizontal="center" vertical="center" wrapText="1"/>
    </xf>
    <xf numFmtId="0" fontId="21" fillId="0" borderId="3" xfId="14" applyFont="1" applyBorder="1" applyAlignment="1">
      <alignment horizontal="center" vertical="center" wrapText="1"/>
    </xf>
    <xf numFmtId="0" fontId="21" fillId="0" borderId="10" xfId="14" applyFont="1" applyBorder="1" applyAlignment="1">
      <alignment horizontal="center" vertical="center" wrapText="1"/>
    </xf>
    <xf numFmtId="0" fontId="62" fillId="0" borderId="6" xfId="0" applyFont="1" applyBorder="1" applyAlignment="1">
      <alignment horizontal="center" vertical="center"/>
    </xf>
    <xf numFmtId="0" fontId="62" fillId="0" borderId="10" xfId="0" applyFont="1" applyBorder="1" applyAlignment="1">
      <alignment horizontal="center" vertical="center"/>
    </xf>
    <xf numFmtId="0" fontId="55" fillId="0" borderId="0" xfId="0" applyFont="1" applyAlignment="1">
      <alignment horizontal="center"/>
    </xf>
    <xf numFmtId="0" fontId="56" fillId="10" borderId="33" xfId="0" applyFont="1" applyFill="1" applyBorder="1" applyAlignment="1">
      <alignment horizontal="center" vertical="center" wrapText="1" readingOrder="1"/>
    </xf>
    <xf numFmtId="0" fontId="56" fillId="10" borderId="36" xfId="0" applyFont="1" applyFill="1" applyBorder="1" applyAlignment="1">
      <alignment horizontal="center" vertical="center" wrapText="1" readingOrder="1"/>
    </xf>
    <xf numFmtId="0" fontId="57" fillId="10" borderId="34" xfId="0" applyFont="1" applyFill="1" applyBorder="1" applyAlignment="1">
      <alignment horizontal="center" vertical="center" wrapText="1" readingOrder="1"/>
    </xf>
    <xf numFmtId="0" fontId="57" fillId="10" borderId="35" xfId="0" applyFont="1" applyFill="1" applyBorder="1" applyAlignment="1">
      <alignment horizontal="center" vertical="center" wrapText="1" readingOrder="1"/>
    </xf>
    <xf numFmtId="0" fontId="58" fillId="10" borderId="33" xfId="0" applyFont="1" applyFill="1" applyBorder="1" applyAlignment="1">
      <alignment horizontal="center" vertical="center" wrapText="1" readingOrder="1"/>
    </xf>
    <xf numFmtId="0" fontId="58" fillId="10" borderId="36" xfId="0" applyFont="1" applyFill="1" applyBorder="1" applyAlignment="1">
      <alignment horizontal="center" vertical="center" wrapText="1" readingOrder="1"/>
    </xf>
    <xf numFmtId="0" fontId="54" fillId="0" borderId="8" xfId="10" applyFont="1" applyBorder="1" applyAlignment="1">
      <alignment horizontal="center" vertical="center"/>
    </xf>
    <xf numFmtId="0" fontId="54" fillId="0" borderId="11" xfId="10" applyFont="1" applyBorder="1" applyAlignment="1">
      <alignment horizontal="center" vertical="center"/>
    </xf>
    <xf numFmtId="0" fontId="54" fillId="0" borderId="7" xfId="10" applyFont="1" applyBorder="1" applyAlignment="1">
      <alignment horizontal="center" vertical="center"/>
    </xf>
    <xf numFmtId="0" fontId="54" fillId="5" borderId="8" xfId="14" applyFont="1" applyFill="1" applyBorder="1" applyAlignment="1">
      <alignment horizontal="center" vertical="center"/>
    </xf>
    <xf numFmtId="0" fontId="54" fillId="5" borderId="11" xfId="14" applyFont="1" applyFill="1" applyBorder="1" applyAlignment="1">
      <alignment horizontal="center" vertical="center"/>
    </xf>
    <xf numFmtId="0" fontId="54" fillId="5" borderId="7" xfId="14" applyFont="1" applyFill="1" applyBorder="1" applyAlignment="1">
      <alignment horizontal="center" vertical="center"/>
    </xf>
    <xf numFmtId="0" fontId="52" fillId="0" borderId="0" xfId="10" applyFont="1" applyAlignment="1">
      <alignment horizontal="center" vertical="center"/>
    </xf>
    <xf numFmtId="0" fontId="52" fillId="0" borderId="4" xfId="10" applyFont="1" applyBorder="1" applyAlignment="1">
      <alignment horizontal="center" vertical="center" wrapText="1"/>
    </xf>
    <xf numFmtId="0" fontId="54" fillId="0" borderId="4" xfId="10" applyFont="1" applyBorder="1" applyAlignment="1">
      <alignment horizontal="center" vertical="center" wrapText="1"/>
    </xf>
    <xf numFmtId="0" fontId="52" fillId="0" borderId="4" xfId="10" applyFont="1" applyBorder="1" applyAlignment="1">
      <alignment horizontal="center" vertical="center"/>
    </xf>
    <xf numFmtId="0" fontId="54" fillId="0" borderId="4" xfId="10" applyFont="1" applyBorder="1" applyAlignment="1">
      <alignment horizontal="center" vertical="center"/>
    </xf>
    <xf numFmtId="0" fontId="21" fillId="0" borderId="4" xfId="14" applyFont="1" applyBorder="1" applyAlignment="1">
      <alignment horizontal="center" vertical="center" wrapText="1"/>
    </xf>
    <xf numFmtId="0" fontId="21" fillId="0" borderId="4" xfId="14" quotePrefix="1" applyFont="1" applyBorder="1" applyAlignment="1">
      <alignment horizontal="center" vertical="center" wrapText="1"/>
    </xf>
    <xf numFmtId="0" fontId="16" fillId="0" borderId="4" xfId="10" applyFont="1" applyBorder="1" applyAlignment="1">
      <alignment horizontal="center" vertical="center" wrapText="1"/>
    </xf>
    <xf numFmtId="0" fontId="16" fillId="0" borderId="0" xfId="0" applyFont="1" applyAlignment="1">
      <alignment horizontal="left" vertical="top" wrapText="1"/>
    </xf>
    <xf numFmtId="0" fontId="21" fillId="0" borderId="4" xfId="0" applyFont="1" applyBorder="1" applyAlignment="1">
      <alignment horizontal="center" vertical="center"/>
    </xf>
    <xf numFmtId="0" fontId="21" fillId="0" borderId="4" xfId="0" applyFont="1" applyBorder="1" applyAlignment="1">
      <alignment horizontal="center" vertical="center" wrapText="1"/>
    </xf>
    <xf numFmtId="0" fontId="21" fillId="0" borderId="6" xfId="0" applyFont="1" applyBorder="1" applyAlignment="1">
      <alignment horizontal="center" vertical="center"/>
    </xf>
    <xf numFmtId="0" fontId="21" fillId="0" borderId="3" xfId="0" applyFont="1" applyBorder="1" applyAlignment="1">
      <alignment horizontal="center" vertical="center"/>
    </xf>
    <xf numFmtId="0" fontId="21" fillId="0" borderId="10" xfId="0" applyFont="1" applyBorder="1" applyAlignment="1">
      <alignment horizontal="center" vertical="center"/>
    </xf>
    <xf numFmtId="0" fontId="52" fillId="0" borderId="0" xfId="14" applyFont="1" applyAlignment="1">
      <alignment horizontal="center" vertical="center"/>
    </xf>
    <xf numFmtId="0" fontId="9" fillId="0" borderId="6" xfId="0" applyFont="1" applyBorder="1" applyAlignment="1">
      <alignment horizontal="center" vertical="center"/>
    </xf>
    <xf numFmtId="0" fontId="9" fillId="0" borderId="10" xfId="0" applyFont="1" applyBorder="1" applyAlignment="1">
      <alignment horizontal="center" vertical="center"/>
    </xf>
    <xf numFmtId="2" fontId="0" fillId="0" borderId="6" xfId="0" applyNumberFormat="1" applyBorder="1" applyAlignment="1">
      <alignment horizontal="center"/>
    </xf>
    <xf numFmtId="2" fontId="0" fillId="0" borderId="10" xfId="0" applyNumberFormat="1" applyBorder="1" applyAlignment="1">
      <alignment horizontal="center"/>
    </xf>
    <xf numFmtId="0" fontId="0" fillId="0" borderId="6" xfId="0" applyBorder="1" applyAlignment="1">
      <alignment horizontal="center"/>
    </xf>
    <xf numFmtId="0" fontId="0" fillId="0" borderId="10" xfId="0" applyBorder="1" applyAlignment="1">
      <alignment horizontal="center"/>
    </xf>
    <xf numFmtId="1" fontId="9" fillId="0" borderId="6" xfId="0" applyNumberFormat="1" applyFont="1" applyBorder="1" applyAlignment="1">
      <alignment horizontal="center" vertical="center"/>
    </xf>
    <xf numFmtId="1" fontId="9" fillId="0" borderId="10" xfId="0" applyNumberFormat="1" applyFont="1" applyBorder="1" applyAlignment="1">
      <alignment horizontal="center" vertical="center"/>
    </xf>
    <xf numFmtId="0" fontId="21" fillId="0" borderId="3" xfId="10" applyFont="1" applyBorder="1" applyAlignment="1">
      <alignment horizontal="center" vertical="center"/>
    </xf>
    <xf numFmtId="0" fontId="21" fillId="0" borderId="10" xfId="10" applyFont="1" applyBorder="1" applyAlignment="1">
      <alignment horizontal="center" vertical="center"/>
    </xf>
    <xf numFmtId="0" fontId="16" fillId="0" borderId="4" xfId="10" applyFont="1" applyBorder="1" applyAlignment="1">
      <alignment vertical="center"/>
    </xf>
    <xf numFmtId="0" fontId="21" fillId="0" borderId="9" xfId="14" applyFont="1" applyBorder="1" applyAlignment="1">
      <alignment horizontal="center" vertical="center"/>
    </xf>
    <xf numFmtId="0" fontId="16" fillId="4" borderId="4" xfId="10" applyFont="1" applyFill="1" applyBorder="1" applyAlignment="1">
      <alignment horizontal="center" vertical="center" wrapText="1"/>
    </xf>
    <xf numFmtId="0" fontId="16" fillId="4" borderId="13" xfId="10" applyFont="1" applyFill="1" applyBorder="1" applyAlignment="1">
      <alignment horizontal="center" vertical="center" wrapText="1"/>
    </xf>
    <xf numFmtId="0" fontId="16" fillId="4" borderId="4" xfId="72" applyFont="1" applyFill="1" applyBorder="1" applyAlignment="1">
      <alignment horizontal="center" vertical="center"/>
    </xf>
    <xf numFmtId="0" fontId="16" fillId="4" borderId="4" xfId="10" quotePrefix="1" applyFont="1" applyFill="1" applyBorder="1" applyAlignment="1">
      <alignment horizontal="center" vertical="center"/>
    </xf>
    <xf numFmtId="0" fontId="16" fillId="4" borderId="13" xfId="10" applyFont="1" applyFill="1" applyBorder="1" applyAlignment="1">
      <alignment horizontal="center" vertical="center"/>
    </xf>
    <xf numFmtId="0" fontId="21" fillId="4" borderId="4" xfId="10" applyFont="1" applyFill="1" applyBorder="1" applyAlignment="1">
      <alignment horizontal="center" vertical="center" wrapText="1"/>
    </xf>
    <xf numFmtId="0" fontId="21" fillId="4" borderId="13" xfId="10" applyFont="1" applyFill="1" applyBorder="1" applyAlignment="1">
      <alignment horizontal="center" vertical="center" wrapText="1"/>
    </xf>
    <xf numFmtId="0" fontId="21" fillId="4" borderId="0" xfId="10" applyFont="1" applyFill="1" applyAlignment="1">
      <alignment horizontal="center" vertical="center"/>
    </xf>
    <xf numFmtId="9" fontId="16" fillId="4" borderId="4" xfId="72" applyNumberFormat="1" applyFont="1" applyFill="1" applyBorder="1" applyAlignment="1">
      <alignment horizontal="center" vertical="center"/>
    </xf>
    <xf numFmtId="0" fontId="16" fillId="4" borderId="15" xfId="72" applyFont="1" applyFill="1" applyBorder="1" applyAlignment="1">
      <alignment horizontal="center" vertical="center"/>
    </xf>
    <xf numFmtId="0" fontId="25" fillId="4" borderId="0" xfId="10" applyFont="1" applyFill="1" applyAlignment="1">
      <alignment horizontal="justify" vertical="center" wrapText="1"/>
    </xf>
    <xf numFmtId="0" fontId="25" fillId="4" borderId="0" xfId="10" applyFont="1" applyFill="1" applyAlignment="1">
      <alignment horizontal="left" vertical="center"/>
    </xf>
    <xf numFmtId="0" fontId="25" fillId="4" borderId="0" xfId="10" applyFont="1" applyFill="1" applyAlignment="1">
      <alignment horizontal="justify" vertical="center"/>
    </xf>
    <xf numFmtId="0" fontId="16" fillId="0" borderId="4" xfId="72" applyFont="1" applyBorder="1" applyAlignment="1">
      <alignment horizontal="left" vertical="center" wrapText="1"/>
    </xf>
    <xf numFmtId="0" fontId="31" fillId="4" borderId="27" xfId="10" applyFont="1" applyFill="1" applyBorder="1" applyAlignment="1">
      <alignment horizontal="center" vertical="center" wrapText="1"/>
    </xf>
    <xf numFmtId="0" fontId="31" fillId="4" borderId="3" xfId="10" applyFont="1" applyFill="1" applyBorder="1" applyAlignment="1">
      <alignment horizontal="center" vertical="center" wrapText="1"/>
    </xf>
    <xf numFmtId="0" fontId="31" fillId="4" borderId="28" xfId="10" applyFont="1" applyFill="1" applyBorder="1" applyAlignment="1">
      <alignment horizontal="center" vertical="center" wrapText="1"/>
    </xf>
    <xf numFmtId="0" fontId="16" fillId="0" borderId="6" xfId="72" applyFont="1" applyBorder="1" applyAlignment="1">
      <alignment horizontal="left" vertical="center" wrapText="1"/>
    </xf>
    <xf numFmtId="0" fontId="16" fillId="0" borderId="3" xfId="72" applyFont="1" applyBorder="1" applyAlignment="1">
      <alignment horizontal="left" vertical="center" wrapText="1"/>
    </xf>
    <xf numFmtId="0" fontId="16" fillId="0" borderId="28" xfId="72" applyFont="1" applyBorder="1" applyAlignment="1">
      <alignment horizontal="left" vertical="center" wrapText="1"/>
    </xf>
    <xf numFmtId="0" fontId="16" fillId="0" borderId="13" xfId="72" applyFont="1" applyBorder="1" applyAlignment="1">
      <alignment horizontal="left" vertical="center" wrapText="1"/>
    </xf>
    <xf numFmtId="0" fontId="16" fillId="4" borderId="4" xfId="10" applyFont="1" applyFill="1" applyBorder="1" applyAlignment="1">
      <alignment horizontal="left" vertical="center" wrapText="1"/>
    </xf>
    <xf numFmtId="0" fontId="16" fillId="4" borderId="13" xfId="10" applyFont="1" applyFill="1" applyBorder="1" applyAlignment="1">
      <alignment horizontal="left" vertical="center" wrapText="1"/>
    </xf>
    <xf numFmtId="0" fontId="16" fillId="4" borderId="6" xfId="10" applyFont="1" applyFill="1" applyBorder="1" applyAlignment="1">
      <alignment horizontal="center" vertical="center"/>
    </xf>
    <xf numFmtId="0" fontId="16" fillId="4" borderId="3" xfId="10" applyFont="1" applyFill="1" applyBorder="1" applyAlignment="1">
      <alignment horizontal="center" vertical="center"/>
    </xf>
    <xf numFmtId="0" fontId="16" fillId="4" borderId="10" xfId="10" applyFont="1" applyFill="1" applyBorder="1" applyAlignment="1">
      <alignment horizontal="center" vertical="center"/>
    </xf>
    <xf numFmtId="0" fontId="16" fillId="0" borderId="30" xfId="10" applyFont="1" applyBorder="1" applyAlignment="1">
      <alignment horizontal="center" vertical="center" wrapText="1"/>
    </xf>
    <xf numFmtId="0" fontId="16" fillId="0" borderId="31" xfId="10" applyFont="1" applyBorder="1" applyAlignment="1">
      <alignment horizontal="center" vertical="center" wrapText="1"/>
    </xf>
    <xf numFmtId="0" fontId="16" fillId="0" borderId="32" xfId="10" applyFont="1" applyBorder="1" applyAlignment="1">
      <alignment horizontal="center" vertical="center" wrapText="1"/>
    </xf>
    <xf numFmtId="0" fontId="21" fillId="0" borderId="0" xfId="0" applyFont="1" applyAlignment="1">
      <alignment horizontal="center" vertical="center"/>
    </xf>
    <xf numFmtId="0" fontId="47" fillId="0" borderId="0" xfId="14" applyFont="1" applyAlignment="1">
      <alignment horizontal="center" vertical="center"/>
    </xf>
    <xf numFmtId="2" fontId="21" fillId="0" borderId="8" xfId="35" applyNumberFormat="1" applyFont="1" applyBorder="1" applyAlignment="1">
      <alignment horizontal="center" vertical="center" wrapText="1"/>
    </xf>
    <xf numFmtId="2" fontId="21" fillId="0" borderId="11" xfId="35" applyNumberFormat="1" applyFont="1" applyBorder="1" applyAlignment="1">
      <alignment horizontal="center" vertical="center" wrapText="1"/>
    </xf>
    <xf numFmtId="2" fontId="16" fillId="0" borderId="11" xfId="0" applyNumberFormat="1" applyFont="1" applyBorder="1" applyAlignment="1">
      <alignment horizontal="center" vertical="center" wrapText="1"/>
    </xf>
    <xf numFmtId="2" fontId="16" fillId="0" borderId="7" xfId="0" applyNumberFormat="1" applyFont="1" applyBorder="1" applyAlignment="1">
      <alignment horizontal="center" vertical="center" wrapText="1"/>
    </xf>
    <xf numFmtId="2" fontId="21" fillId="0" borderId="8" xfId="35" applyNumberFormat="1" applyFont="1" applyBorder="1" applyAlignment="1">
      <alignment horizontal="left" vertical="center" wrapText="1"/>
    </xf>
    <xf numFmtId="2" fontId="21" fillId="0" borderId="11" xfId="35" applyNumberFormat="1" applyFont="1" applyBorder="1" applyAlignment="1">
      <alignment horizontal="left" vertical="center" wrapText="1"/>
    </xf>
    <xf numFmtId="2" fontId="21" fillId="0" borderId="7" xfId="35" applyNumberFormat="1" applyFont="1" applyBorder="1" applyAlignment="1">
      <alignment horizontal="left" vertical="center" wrapText="1"/>
    </xf>
    <xf numFmtId="2" fontId="21" fillId="0" borderId="6" xfId="35" applyNumberFormat="1" applyFont="1" applyBorder="1" applyAlignment="1">
      <alignment horizontal="center" vertical="center"/>
    </xf>
    <xf numFmtId="2" fontId="21" fillId="0" borderId="3" xfId="35" applyNumberFormat="1" applyFont="1" applyBorder="1" applyAlignment="1">
      <alignment horizontal="center" vertical="center"/>
    </xf>
    <xf numFmtId="2" fontId="21" fillId="0" borderId="10" xfId="35" applyNumberFormat="1" applyFont="1" applyBorder="1" applyAlignment="1">
      <alignment horizontal="center" vertical="center"/>
    </xf>
    <xf numFmtId="2" fontId="21" fillId="0" borderId="8" xfId="35" applyNumberFormat="1" applyFont="1" applyBorder="1" applyAlignment="1">
      <alignment horizontal="center" vertical="center"/>
    </xf>
    <xf numFmtId="2" fontId="21" fillId="0" borderId="11" xfId="35" applyNumberFormat="1" applyFont="1" applyBorder="1" applyAlignment="1">
      <alignment horizontal="center" vertical="center"/>
    </xf>
    <xf numFmtId="2" fontId="21" fillId="0" borderId="7" xfId="35" applyNumberFormat="1" applyFont="1" applyBorder="1" applyAlignment="1">
      <alignment horizontal="center" vertical="center"/>
    </xf>
    <xf numFmtId="2" fontId="21" fillId="0" borderId="7" xfId="35" applyNumberFormat="1" applyFont="1" applyBorder="1" applyAlignment="1">
      <alignment horizontal="center" vertical="center" wrapText="1"/>
    </xf>
    <xf numFmtId="2" fontId="21" fillId="0" borderId="4" xfId="35" applyNumberFormat="1" applyFont="1" applyBorder="1" applyAlignment="1">
      <alignment horizontal="center" vertical="center" wrapText="1"/>
    </xf>
    <xf numFmtId="9" fontId="16" fillId="0" borderId="8" xfId="42" applyFont="1" applyBorder="1" applyAlignment="1">
      <alignment horizontal="center" vertical="center" wrapText="1"/>
    </xf>
    <xf numFmtId="9" fontId="16" fillId="0" borderId="7" xfId="42" applyFont="1" applyBorder="1" applyAlignment="1">
      <alignment horizontal="center" vertical="center" wrapText="1"/>
    </xf>
    <xf numFmtId="0" fontId="16" fillId="0" borderId="6" xfId="0" applyFont="1" applyBorder="1" applyAlignment="1">
      <alignment horizontal="center" vertical="top"/>
    </xf>
    <xf numFmtId="0" fontId="16" fillId="0" borderId="10" xfId="0" applyFont="1" applyBorder="1" applyAlignment="1">
      <alignment horizontal="center" vertical="top"/>
    </xf>
    <xf numFmtId="2" fontId="16" fillId="0" borderId="8" xfId="0" applyNumberFormat="1" applyFont="1" applyBorder="1" applyAlignment="1">
      <alignment horizontal="center" vertical="center" wrapText="1"/>
    </xf>
    <xf numFmtId="2" fontId="21" fillId="6" borderId="6" xfId="24" quotePrefix="1" applyNumberFormat="1" applyFont="1" applyFill="1" applyBorder="1" applyAlignment="1">
      <alignment horizontal="center" vertical="center"/>
    </xf>
    <xf numFmtId="2" fontId="21" fillId="6" borderId="3" xfId="24" applyNumberFormat="1" applyFont="1" applyFill="1" applyBorder="1" applyAlignment="1">
      <alignment horizontal="center" vertical="center"/>
    </xf>
    <xf numFmtId="2" fontId="21" fillId="6" borderId="10" xfId="24" applyNumberFormat="1" applyFont="1" applyFill="1" applyBorder="1" applyAlignment="1">
      <alignment horizontal="center" vertical="center"/>
    </xf>
    <xf numFmtId="0" fontId="21" fillId="0" borderId="6" xfId="10" applyFont="1" applyBorder="1" applyAlignment="1">
      <alignment horizontal="center" vertical="center" wrapText="1"/>
    </xf>
    <xf numFmtId="0" fontId="21" fillId="0" borderId="3" xfId="10" applyFont="1" applyBorder="1" applyAlignment="1">
      <alignment horizontal="center" vertical="center" wrapText="1"/>
    </xf>
    <xf numFmtId="0" fontId="21" fillId="0" borderId="10" xfId="10" applyFont="1" applyBorder="1" applyAlignment="1">
      <alignment horizontal="center" vertical="center" wrapText="1"/>
    </xf>
    <xf numFmtId="2" fontId="21" fillId="6" borderId="3" xfId="24" quotePrefix="1" applyNumberFormat="1" applyFont="1" applyFill="1" applyBorder="1" applyAlignment="1">
      <alignment horizontal="center" vertical="center"/>
    </xf>
    <xf numFmtId="2" fontId="21" fillId="6" borderId="10" xfId="24" quotePrefix="1" applyNumberFormat="1" applyFont="1" applyFill="1" applyBorder="1" applyAlignment="1">
      <alignment horizontal="center" vertical="center"/>
    </xf>
    <xf numFmtId="0" fontId="21" fillId="0" borderId="0" xfId="34" applyFont="1" applyAlignment="1">
      <alignment horizontal="center" vertical="center"/>
    </xf>
    <xf numFmtId="0" fontId="16" fillId="0" borderId="0" xfId="10" applyFont="1" applyAlignment="1">
      <alignment horizontal="center" vertical="center"/>
    </xf>
    <xf numFmtId="0" fontId="21" fillId="0" borderId="8" xfId="10" applyFont="1" applyBorder="1" applyAlignment="1">
      <alignment horizontal="center" vertical="center"/>
    </xf>
    <xf numFmtId="0" fontId="21" fillId="0" borderId="7" xfId="10" applyFont="1" applyBorder="1" applyAlignment="1">
      <alignment horizontal="center" vertical="center"/>
    </xf>
    <xf numFmtId="0" fontId="21" fillId="0" borderId="6" xfId="10" applyFont="1" applyBorder="1" applyAlignment="1">
      <alignment horizontal="center" vertical="center"/>
    </xf>
    <xf numFmtId="0" fontId="0" fillId="0" borderId="4" xfId="0" applyBorder="1" applyAlignment="1">
      <alignment horizontal="center" vertical="center" wrapText="1"/>
    </xf>
    <xf numFmtId="0" fontId="47" fillId="0" borderId="4" xfId="0" applyFont="1" applyBorder="1" applyAlignment="1">
      <alignment horizontal="center"/>
    </xf>
    <xf numFmtId="0" fontId="47" fillId="0" borderId="4" xfId="0" applyFont="1" applyBorder="1" applyAlignment="1">
      <alignment horizontal="left"/>
    </xf>
    <xf numFmtId="0" fontId="9" fillId="0" borderId="4" xfId="0" applyFont="1" applyBorder="1" applyAlignment="1">
      <alignment horizontal="center" vertical="center"/>
    </xf>
    <xf numFmtId="0" fontId="9" fillId="0" borderId="4" xfId="0" applyFont="1" applyBorder="1" applyAlignment="1">
      <alignment horizontal="center" vertical="center" wrapText="1"/>
    </xf>
    <xf numFmtId="0" fontId="16" fillId="0" borderId="0" xfId="0" applyFont="1" applyAlignment="1">
      <alignment horizontal="left" vertical="center" wrapText="1"/>
    </xf>
    <xf numFmtId="0" fontId="21" fillId="0" borderId="0" xfId="35" applyFont="1" applyAlignment="1">
      <alignment horizontal="center" vertical="center"/>
    </xf>
    <xf numFmtId="0" fontId="21" fillId="0" borderId="6" xfId="0" applyFont="1" applyBorder="1" applyAlignment="1">
      <alignment horizontal="center" vertical="center" wrapText="1"/>
    </xf>
    <xf numFmtId="0" fontId="48" fillId="0" borderId="27" xfId="0" applyFont="1" applyBorder="1" applyAlignment="1">
      <alignment horizontal="center" vertical="center"/>
    </xf>
    <xf numFmtId="0" fontId="48" fillId="0" borderId="3" xfId="0" applyFont="1" applyBorder="1" applyAlignment="1">
      <alignment horizontal="center" vertical="center"/>
    </xf>
    <xf numFmtId="0" fontId="48" fillId="0" borderId="28" xfId="0" applyFont="1" applyBorder="1" applyAlignment="1">
      <alignment horizontal="center" vertical="center"/>
    </xf>
    <xf numFmtId="2" fontId="21" fillId="0" borderId="6" xfId="0" applyNumberFormat="1" applyFont="1" applyBorder="1" applyAlignment="1">
      <alignment horizontal="center" vertical="center"/>
    </xf>
    <xf numFmtId="2" fontId="21" fillId="0" borderId="3" xfId="0" applyNumberFormat="1" applyFont="1" applyBorder="1" applyAlignment="1">
      <alignment horizontal="center" vertical="center"/>
    </xf>
    <xf numFmtId="2" fontId="21" fillId="0" borderId="10" xfId="0" applyNumberFormat="1" applyFont="1" applyBorder="1" applyAlignment="1">
      <alignment horizontal="center"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5" xfId="0" applyFont="1" applyBorder="1" applyAlignment="1">
      <alignment horizontal="center" vertical="center"/>
    </xf>
    <xf numFmtId="0" fontId="21" fillId="0" borderId="20" xfId="0" applyFont="1" applyBorder="1" applyAlignment="1">
      <alignment horizontal="center" vertical="center"/>
    </xf>
    <xf numFmtId="0" fontId="21" fillId="0" borderId="21" xfId="0" applyFont="1" applyBorder="1" applyAlignment="1">
      <alignment horizontal="center" vertical="center"/>
    </xf>
    <xf numFmtId="0" fontId="21" fillId="0" borderId="22" xfId="0" applyFont="1" applyBorder="1" applyAlignment="1">
      <alignment horizontal="center" vertical="center"/>
    </xf>
    <xf numFmtId="0" fontId="21" fillId="0" borderId="17" xfId="0" applyFont="1" applyBorder="1" applyAlignment="1">
      <alignment horizontal="center" vertical="center"/>
    </xf>
    <xf numFmtId="0" fontId="21" fillId="0" borderId="18" xfId="0" applyFont="1" applyBorder="1" applyAlignment="1">
      <alignment horizontal="center" vertical="center"/>
    </xf>
    <xf numFmtId="0" fontId="21" fillId="0" borderId="19" xfId="0" applyFont="1" applyBorder="1" applyAlignment="1">
      <alignment horizontal="center" vertical="center"/>
    </xf>
    <xf numFmtId="0" fontId="36" fillId="8" borderId="4" xfId="0" applyFont="1" applyFill="1" applyBorder="1" applyAlignment="1">
      <alignment horizontal="center" vertical="center" wrapText="1"/>
    </xf>
    <xf numFmtId="0" fontId="34" fillId="8" borderId="4" xfId="0" applyFont="1" applyFill="1" applyBorder="1" applyAlignment="1">
      <alignment horizontal="center"/>
    </xf>
    <xf numFmtId="0" fontId="35" fillId="0" borderId="4" xfId="0" applyFont="1" applyBorder="1" applyAlignment="1">
      <alignment horizontal="center" vertical="center"/>
    </xf>
    <xf numFmtId="0" fontId="34" fillId="9" borderId="4" xfId="0" applyFont="1" applyFill="1" applyBorder="1" applyAlignment="1">
      <alignment horizontal="center"/>
    </xf>
    <xf numFmtId="0" fontId="34" fillId="0" borderId="4" xfId="0" applyFont="1" applyBorder="1" applyAlignment="1">
      <alignment horizontal="center" vertical="center"/>
    </xf>
  </cellXfs>
  <cellStyles count="123">
    <cellStyle name="Body" xfId="1"/>
    <cellStyle name="Comma" xfId="74" builtinId="3"/>
    <cellStyle name="Comma  - Style1" xfId="2"/>
    <cellStyle name="Comma 10" xfId="94"/>
    <cellStyle name="Comma 11" xfId="113"/>
    <cellStyle name="Comma 11 2" xfId="19"/>
    <cellStyle name="Comma 11 2 2" xfId="77"/>
    <cellStyle name="Comma 11 2 3" xfId="96"/>
    <cellStyle name="Comma 12" xfId="119"/>
    <cellStyle name="Comma 12 2 2" xfId="116"/>
    <cellStyle name="Comma 13" xfId="110"/>
    <cellStyle name="Comma 14" xfId="117"/>
    <cellStyle name="Comma 2" xfId="25"/>
    <cellStyle name="Comma 2 2" xfId="26"/>
    <cellStyle name="Comma 2 2 2" xfId="66"/>
    <cellStyle name="Comma 2 3" xfId="27"/>
    <cellStyle name="Comma 2 4" xfId="59"/>
    <cellStyle name="Comma 3" xfId="28"/>
    <cellStyle name="Comma 3 2" xfId="65"/>
    <cellStyle name="Comma 3 2 2" xfId="85"/>
    <cellStyle name="Comma 3 2 3" xfId="97"/>
    <cellStyle name="Comma 3 3" xfId="115"/>
    <cellStyle name="Comma 4" xfId="29"/>
    <cellStyle name="Comma 4 2" xfId="67"/>
    <cellStyle name="Comma 4 2 2" xfId="86"/>
    <cellStyle name="Comma 4 2 3" xfId="98"/>
    <cellStyle name="Comma 5" xfId="30"/>
    <cellStyle name="Comma 6" xfId="51"/>
    <cellStyle name="Comma 6 2" xfId="52"/>
    <cellStyle name="Comma 6 3" xfId="53"/>
    <cellStyle name="Comma 6 4" xfId="54"/>
    <cellStyle name="Comma 6 5" xfId="82"/>
    <cellStyle name="Comma 7" xfId="21"/>
    <cellStyle name="Comma 8" xfId="68"/>
    <cellStyle name="Comma 8 2" xfId="87"/>
    <cellStyle name="Comma 8 3" xfId="99"/>
    <cellStyle name="Comma 9" xfId="93"/>
    <cellStyle name="Curren - Style2" xfId="3"/>
    <cellStyle name="Grey" xfId="4"/>
    <cellStyle name="Header1" xfId="5"/>
    <cellStyle name="Header2" xfId="6"/>
    <cellStyle name="Input [yellow]" xfId="7"/>
    <cellStyle name="no dec" xfId="8"/>
    <cellStyle name="Normal" xfId="0" builtinId="0"/>
    <cellStyle name="Normal - Style1" xfId="9"/>
    <cellStyle name="Normal 10" xfId="70"/>
    <cellStyle name="Normal 10 2" xfId="89"/>
    <cellStyle name="Normal 10 3" xfId="100"/>
    <cellStyle name="Normal 11" xfId="72"/>
    <cellStyle name="Normal 11 2" xfId="91"/>
    <cellStyle name="Normal 11 3" xfId="101"/>
    <cellStyle name="Normal 12" xfId="73"/>
    <cellStyle name="Normal 12 2" xfId="92"/>
    <cellStyle name="Normal 12 3" xfId="102"/>
    <cellStyle name="Normal 13" xfId="95"/>
    <cellStyle name="Normal 14" xfId="112"/>
    <cellStyle name="Normal 14 2" xfId="71"/>
    <cellStyle name="Normal 14 2 2" xfId="90"/>
    <cellStyle name="Normal 14 2 3" xfId="103"/>
    <cellStyle name="Normal 15" xfId="18"/>
    <cellStyle name="Normal 15 2" xfId="76"/>
    <cellStyle name="Normal 15 3" xfId="104"/>
    <cellStyle name="Normal 16" xfId="118"/>
    <cellStyle name="Normal 17" xfId="109"/>
    <cellStyle name="Normal 18" xfId="64"/>
    <cellStyle name="Normal 18 2" xfId="84"/>
    <cellStyle name="Normal 18 3" xfId="105"/>
    <cellStyle name="Normal 2" xfId="10"/>
    <cellStyle name="Normal 2 2" xfId="11"/>
    <cellStyle name="Normal 2 2 2" xfId="31"/>
    <cellStyle name="Normal 2 2 2 2" xfId="60"/>
    <cellStyle name="Normal 2 2_Working APR 2007-08 Mahagenco_Bhushan_1.3" xfId="32"/>
    <cellStyle name="Normal 2 3" xfId="12"/>
    <cellStyle name="Normal 2 4" xfId="55"/>
    <cellStyle name="Normal 2_ARR FINAL" xfId="33"/>
    <cellStyle name="Normal 23" xfId="75"/>
    <cellStyle name="Normal 3" xfId="13"/>
    <cellStyle name="Normal 3 2" xfId="34"/>
    <cellStyle name="Normal 3 2 2" xfId="61"/>
    <cellStyle name="Normal 39" xfId="22"/>
    <cellStyle name="Normal 4" xfId="35"/>
    <cellStyle name="Normal 4 2" xfId="62"/>
    <cellStyle name="Normal 5" xfId="36"/>
    <cellStyle name="Normal 5 2" xfId="37"/>
    <cellStyle name="Normal 5 3" xfId="80"/>
    <cellStyle name="Normal 5 4" xfId="106"/>
    <cellStyle name="Normal 6" xfId="38"/>
    <cellStyle name="Normal 7" xfId="39"/>
    <cellStyle name="Normal 7 2" xfId="81"/>
    <cellStyle name="Normal 7 3" xfId="107"/>
    <cellStyle name="Normal 8" xfId="56"/>
    <cellStyle name="Normal 9" xfId="57"/>
    <cellStyle name="Normal_FORMATS 5 YEAR ALOKE 2" xfId="14"/>
    <cellStyle name="Normal_FORMATS 5 YEAR ALOKE 4" xfId="40"/>
    <cellStyle name="Normal_Sheet1" xfId="41"/>
    <cellStyle name="Percent" xfId="24" builtinId="5"/>
    <cellStyle name="Percent [0]_#6 Temps &amp; Contractors" xfId="15"/>
    <cellStyle name="Percent [2]" xfId="16"/>
    <cellStyle name="Percent 10" xfId="114"/>
    <cellStyle name="Percent 11" xfId="120"/>
    <cellStyle name="Percent 12" xfId="121"/>
    <cellStyle name="Percent 13" xfId="122"/>
    <cellStyle name="Percent 2" xfId="42"/>
    <cellStyle name="Percent 2 2" xfId="43"/>
    <cellStyle name="Percent 2 3" xfId="63"/>
    <cellStyle name="Percent 3" xfId="44"/>
    <cellStyle name="Percent 3 2" xfId="45"/>
    <cellStyle name="Percent 4" xfId="23"/>
    <cellStyle name="Percent 41" xfId="20"/>
    <cellStyle name="Percent 41 2" xfId="78"/>
    <cellStyle name="Percent 41 3" xfId="108"/>
    <cellStyle name="Percent 5" xfId="46"/>
    <cellStyle name="Percent 5 2" xfId="47"/>
    <cellStyle name="Percent 5 3" xfId="48"/>
    <cellStyle name="Percent 6" xfId="49"/>
    <cellStyle name="Percent 6 2" xfId="50"/>
    <cellStyle name="Percent 7" xfId="69"/>
    <cellStyle name="Percent 7 2" xfId="88"/>
    <cellStyle name="Percent 7 3" xfId="111"/>
    <cellStyle name="Percent 8" xfId="79"/>
    <cellStyle name="Percent 9" xfId="83"/>
    <cellStyle name="Style 1" xfId="17"/>
    <cellStyle name="Style 2" xfId="58"/>
  </cellStyles>
  <dxfs count="0"/>
  <tableStyles count="0" defaultTableStyle="TableStyleMedium9" defaultPivotStyle="PivotStyleLight16"/>
  <colors>
    <mruColors>
      <color rgb="FFFBCB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haring\Blank%20Link%20format.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itle"/>
      <sheetName val="Checklist"/>
      <sheetName val="F1"/>
      <sheetName val="F2"/>
      <sheetName val="F2.1"/>
      <sheetName val="F2.2"/>
      <sheetName val="F2.3"/>
      <sheetName val="F3"/>
      <sheetName val="F3.1"/>
      <sheetName val="F3.2"/>
      <sheetName val="F4"/>
      <sheetName val="F5"/>
      <sheetName val="F6"/>
      <sheetName val="F7"/>
      <sheetName val="F8"/>
      <sheetName val="F9"/>
      <sheetName val="F10"/>
      <sheetName val="F11"/>
      <sheetName val="F12"/>
      <sheetName val="F13"/>
      <sheetName val="F14"/>
      <sheetName val="F15"/>
      <sheetName val="F16"/>
      <sheetName val="F17"/>
      <sheetName val="F18"/>
      <sheetName val="F19.1"/>
      <sheetName val="F19.2"/>
      <sheetName val="F19.3"/>
      <sheetName val="F19.4"/>
      <sheetName val="F19.5"/>
      <sheetName val="F19.6"/>
      <sheetName val="F19.7"/>
      <sheetName val="F19.8"/>
    </sheetNames>
    <sheetDataSet>
      <sheetData sheetId="0"/>
      <sheetData sheetId="1"/>
      <sheetData sheetId="2">
        <row r="2">
          <cell r="J2" t="str">
            <v>TGGENCO</v>
          </cell>
        </row>
        <row r="3">
          <cell r="J3" t="str">
            <v>Consolidated</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F10:O14"/>
  <sheetViews>
    <sheetView showGridLines="0" zoomScale="80" zoomScaleNormal="80" workbookViewId="0">
      <selection activeCell="T12" sqref="T12"/>
    </sheetView>
  </sheetViews>
  <sheetFormatPr defaultColWidth="9.28515625" defaultRowHeight="14.25"/>
  <cols>
    <col min="1" max="16384" width="9.28515625" style="88"/>
  </cols>
  <sheetData>
    <row r="10" spans="6:15" ht="23.25">
      <c r="G10" s="144" t="s">
        <v>577</v>
      </c>
    </row>
    <row r="14" spans="6:15" ht="23.25">
      <c r="F14" s="538" t="s">
        <v>1103</v>
      </c>
      <c r="G14" s="538"/>
      <c r="H14" s="538"/>
      <c r="I14" s="538"/>
      <c r="J14" s="538"/>
      <c r="K14" s="538"/>
      <c r="L14" s="538"/>
      <c r="M14" s="538"/>
      <c r="N14" s="538"/>
      <c r="O14" s="538"/>
    </row>
  </sheetData>
  <mergeCells count="1">
    <mergeCell ref="F14:O14"/>
  </mergeCells>
  <printOptions horizontalCentered="1" verticalCentered="1"/>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sheetPr>
    <tabColor rgb="FFFF0000"/>
  </sheetPr>
  <dimension ref="B1:I22"/>
  <sheetViews>
    <sheetView showGridLines="0" tabSelected="1" zoomScaleSheetLayoutView="90" workbookViewId="0">
      <selection activeCell="L24" sqref="L24"/>
    </sheetView>
  </sheetViews>
  <sheetFormatPr defaultColWidth="9.28515625" defaultRowHeight="14.25"/>
  <cols>
    <col min="1" max="1" width="4.28515625" style="5" customWidth="1"/>
    <col min="2" max="2" width="6.28515625" style="5" customWidth="1"/>
    <col min="3" max="3" width="35.5703125" style="5" customWidth="1"/>
    <col min="4" max="4" width="12.5703125" style="5" bestFit="1" customWidth="1"/>
    <col min="5" max="5" width="12.5703125" style="5" customWidth="1"/>
    <col min="6" max="6" width="11.7109375" style="5" bestFit="1" customWidth="1"/>
    <col min="7" max="7" width="13.7109375" style="5" bestFit="1" customWidth="1"/>
    <col min="8" max="11" width="11.7109375" style="5" bestFit="1" customWidth="1"/>
    <col min="12" max="16384" width="9.28515625" style="5"/>
  </cols>
  <sheetData>
    <row r="1" spans="2:8" ht="15">
      <c r="B1" s="29"/>
    </row>
    <row r="2" spans="2:8" ht="14.25" customHeight="1">
      <c r="B2" s="553" t="s">
        <v>678</v>
      </c>
      <c r="C2" s="553"/>
      <c r="D2" s="553"/>
      <c r="E2" s="553"/>
      <c r="F2" s="553"/>
      <c r="G2" s="553"/>
      <c r="H2" s="553"/>
    </row>
    <row r="3" spans="2:8" ht="14.25" customHeight="1">
      <c r="B3" s="553" t="s">
        <v>948</v>
      </c>
      <c r="C3" s="553"/>
      <c r="D3" s="553"/>
      <c r="E3" s="553"/>
      <c r="F3" s="553"/>
      <c r="G3" s="553"/>
      <c r="H3" s="553"/>
    </row>
    <row r="4" spans="2:8" ht="14.25" customHeight="1">
      <c r="B4" s="554" t="s">
        <v>460</v>
      </c>
      <c r="C4" s="554"/>
      <c r="D4" s="554"/>
      <c r="E4" s="554"/>
      <c r="F4" s="554"/>
      <c r="G4" s="554"/>
      <c r="H4" s="554"/>
    </row>
    <row r="5" spans="2:8" ht="15">
      <c r="B5" s="39"/>
      <c r="C5" s="29"/>
      <c r="D5" s="30"/>
      <c r="E5" s="30"/>
      <c r="F5" s="30"/>
      <c r="G5" s="30"/>
    </row>
    <row r="6" spans="2:8" ht="15">
      <c r="H6" s="31" t="s">
        <v>4</v>
      </c>
    </row>
    <row r="7" spans="2:8" s="18" customFormat="1" ht="30">
      <c r="B7" s="373" t="s">
        <v>360</v>
      </c>
      <c r="C7" s="19" t="s">
        <v>14</v>
      </c>
      <c r="D7" s="20" t="s">
        <v>668</v>
      </c>
      <c r="E7" s="20" t="s">
        <v>669</v>
      </c>
      <c r="F7" s="20" t="s">
        <v>670</v>
      </c>
      <c r="G7" s="20" t="s">
        <v>671</v>
      </c>
      <c r="H7" s="20" t="s">
        <v>672</v>
      </c>
    </row>
    <row r="8" spans="2:8" s="18" customFormat="1" ht="15">
      <c r="B8" s="374"/>
      <c r="C8" s="25"/>
      <c r="D8" s="20"/>
      <c r="E8" s="20" t="s">
        <v>5</v>
      </c>
      <c r="F8" s="20" t="s">
        <v>8</v>
      </c>
      <c r="G8" s="20" t="s">
        <v>8</v>
      </c>
      <c r="H8" s="20" t="s">
        <v>8</v>
      </c>
    </row>
    <row r="9" spans="2:8">
      <c r="B9" s="55">
        <v>1</v>
      </c>
      <c r="C9" s="32" t="s">
        <v>461</v>
      </c>
      <c r="D9" s="175">
        <f>800*24*0.85*(1-0.0525)*'F12'!E17*20/10000</f>
        <v>123.17366028186078</v>
      </c>
      <c r="E9" s="175">
        <f>800*24*0.85*(1-0.0525)*'F12'!F17*20/10000</f>
        <v>120.92961768642671</v>
      </c>
      <c r="F9" s="175">
        <f>800*24*0.85*(1-0.065)*'F12'!G17*20/10000</f>
        <v>123.34821004015524</v>
      </c>
      <c r="G9" s="175">
        <f>800*24*0.85*(1-0.065)*'F12'!H17*20/10000</f>
        <v>125.81517424095837</v>
      </c>
      <c r="H9" s="175">
        <f>800*24*0.85*(1-0.065)*'F12'!I17*20/10000</f>
        <v>128.33147772577752</v>
      </c>
    </row>
    <row r="10" spans="2:8">
      <c r="B10" s="25">
        <f>B9+1</f>
        <v>2</v>
      </c>
      <c r="C10" s="32" t="s">
        <v>462</v>
      </c>
      <c r="D10" s="175">
        <f>800*24*0.85*(1-0.0525)*'F12'!E17*30/10000</f>
        <v>184.76049042279118</v>
      </c>
      <c r="E10" s="175">
        <f>800*24*0.85*(1-0.0525)*'F12'!F17*30/10000</f>
        <v>181.39442652964007</v>
      </c>
      <c r="F10" s="175">
        <f>800*24*0.85*(1-0.065)*'F12'!G17*30/10000</f>
        <v>185.02231506023284</v>
      </c>
      <c r="G10" s="175">
        <f>800*24*0.85*(1-0.065)*'F12'!H17*30/10000</f>
        <v>188.72276136143753</v>
      </c>
      <c r="H10" s="175">
        <f>800*24*0.85*(1-0.065)*'F12'!I17*30/10000</f>
        <v>192.49721658866628</v>
      </c>
    </row>
    <row r="11" spans="2:8">
      <c r="B11" s="25">
        <f t="shared" ref="B11:B19" si="0">B10+1</f>
        <v>3</v>
      </c>
      <c r="C11" s="34" t="s">
        <v>463</v>
      </c>
      <c r="D11" s="175">
        <f>800*24*0.85*(1-0.0525)*'F12'!E18*365/12/10000</f>
        <v>1.7125800000000002</v>
      </c>
      <c r="E11" s="175">
        <f>800*24*0.85*(1-0.0525)*'F12'!F18*365/12/10000</f>
        <v>1.6366329179996371</v>
      </c>
      <c r="F11" s="175">
        <f>800*24*0.85*(1-0.065)*'F12'!G18*365/12/10000</f>
        <v>1.6693655763596293</v>
      </c>
      <c r="G11" s="175">
        <f>800*24*0.85*(1-0.065)*'F12'!H18*366/12/10000</f>
        <v>1.7074179642919913</v>
      </c>
      <c r="H11" s="175">
        <f>800*24*0.85*(1-0.065)*'F12'!I18*365/12/10000</f>
        <v>1.7368079456445582</v>
      </c>
    </row>
    <row r="12" spans="2:8">
      <c r="B12" s="25">
        <f t="shared" si="0"/>
        <v>4</v>
      </c>
      <c r="C12" s="69" t="s">
        <v>464</v>
      </c>
      <c r="D12" s="174">
        <f>'F2'!E23*800/12/100</f>
        <v>15.466666666666667</v>
      </c>
      <c r="E12" s="174">
        <f>'F2'!F23*800/12/100</f>
        <v>16.28</v>
      </c>
      <c r="F12" s="174">
        <f>'F2'!G23*800/12/100</f>
        <v>17.133333333333333</v>
      </c>
      <c r="G12" s="174">
        <f>'F2'!H23*800/12/100</f>
        <v>18.033333333333331</v>
      </c>
      <c r="H12" s="174">
        <f>'F2'!I23*800/12/100</f>
        <v>18.98</v>
      </c>
    </row>
    <row r="13" spans="2:8" s="38" customFormat="1" ht="15">
      <c r="B13" s="25">
        <f t="shared" si="0"/>
        <v>5</v>
      </c>
      <c r="C13" s="43" t="s">
        <v>465</v>
      </c>
      <c r="D13" s="177">
        <f>'F4'!F16*1%</f>
        <v>92.719799999999992</v>
      </c>
      <c r="E13" s="177">
        <f>'F4'!F28*1%</f>
        <v>92.735100000000003</v>
      </c>
      <c r="F13" s="177">
        <f>'F4'!F40*1%</f>
        <v>102.6356</v>
      </c>
      <c r="G13" s="177">
        <f>'F4'!F52*1%</f>
        <v>102.6356</v>
      </c>
      <c r="H13" s="177">
        <f>'F4'!F64*1%</f>
        <v>102.6356</v>
      </c>
    </row>
    <row r="14" spans="2:8">
      <c r="B14" s="25">
        <f t="shared" si="0"/>
        <v>6</v>
      </c>
      <c r="C14" s="69" t="s">
        <v>666</v>
      </c>
      <c r="D14" s="174">
        <f ca="1">'F1'!F16*45/65+(45*800*24*(1-0.0525)*85%*'F12'!E19)/10000</f>
        <v>501.62826178803289</v>
      </c>
      <c r="E14" s="174">
        <f ca="1">'F1'!G16*45/365+(45*800*24*(1-0.0525)*85%*'F12'!F19)/10000</f>
        <v>507.01994602930887</v>
      </c>
      <c r="F14" s="174">
        <f ca="1">'F1'!H16*45/365+(45*800*24*(1-0.065)*85%*'F12'!G19)/10000</f>
        <v>519.52404084030604</v>
      </c>
      <c r="G14" s="174">
        <f ca="1">'F1'!I16*45/365+(45*800*24*(1-0.065)*85%*'F12'!H19)/10000</f>
        <v>521.32684494478326</v>
      </c>
      <c r="H14" s="174">
        <f ca="1">'F1'!J16*45/365+(45*800*24*(1-0.065)*85%*'F12'!I19)/10000</f>
        <v>523.55849965189827</v>
      </c>
    </row>
    <row r="15" spans="2:8">
      <c r="B15" s="25"/>
      <c r="C15" s="69" t="s">
        <v>466</v>
      </c>
      <c r="D15" s="34"/>
      <c r="E15" s="34"/>
      <c r="F15" s="34"/>
      <c r="G15" s="34"/>
      <c r="H15" s="34"/>
    </row>
    <row r="16" spans="2:8">
      <c r="B16" s="25">
        <f>B14+1</f>
        <v>7</v>
      </c>
      <c r="C16" s="32" t="s">
        <v>946</v>
      </c>
      <c r="D16" s="175">
        <f>800*24*0.85*(1-0.0525)*'F12'!E19*30/10000</f>
        <v>186.44961042279118</v>
      </c>
      <c r="E16" s="175">
        <f>800*24*0.85*(1-0.0525)*'F12'!F19*30/10000</f>
        <v>183.00863981862602</v>
      </c>
      <c r="F16" s="175">
        <f>800*24*0.85*(1-0.065)*'F12'!G19*30/10000</f>
        <v>186.66881261499853</v>
      </c>
      <c r="G16" s="175">
        <f>800*24*0.85*(1-0.065)*'F12'!H19*30/10000</f>
        <v>190.40218886729852</v>
      </c>
      <c r="H16" s="175">
        <f>800*24*0.85*(1-0.065)*'F12'!I19*30/10000</f>
        <v>194.21023264464449</v>
      </c>
    </row>
    <row r="17" spans="2:9" ht="15">
      <c r="B17" s="25">
        <f t="shared" si="0"/>
        <v>8</v>
      </c>
      <c r="C17" s="32" t="s">
        <v>58</v>
      </c>
      <c r="D17" s="167">
        <f t="shared" ref="D17:H17" ca="1" si="1">SUM(D9:D14)-D16</f>
        <v>733.0118487365603</v>
      </c>
      <c r="E17" s="167">
        <f t="shared" ca="1" si="1"/>
        <v>736.98708334474918</v>
      </c>
      <c r="F17" s="167">
        <f t="shared" ca="1" si="1"/>
        <v>762.66405223538857</v>
      </c>
      <c r="G17" s="167">
        <f t="shared" ca="1" si="1"/>
        <v>767.83894297750612</v>
      </c>
      <c r="H17" s="167">
        <f t="shared" ca="1" si="1"/>
        <v>773.52936926734219</v>
      </c>
    </row>
    <row r="18" spans="2:9">
      <c r="B18" s="25">
        <f t="shared" si="0"/>
        <v>9</v>
      </c>
      <c r="C18" s="32" t="s">
        <v>467</v>
      </c>
      <c r="D18" s="173">
        <v>0.105</v>
      </c>
      <c r="E18" s="173">
        <v>0.105</v>
      </c>
      <c r="F18" s="173">
        <v>0.105</v>
      </c>
      <c r="G18" s="173">
        <v>0.105</v>
      </c>
      <c r="H18" s="173">
        <v>0.105</v>
      </c>
    </row>
    <row r="19" spans="2:9" ht="15">
      <c r="B19" s="25">
        <f t="shared" si="0"/>
        <v>10</v>
      </c>
      <c r="C19" s="69" t="s">
        <v>468</v>
      </c>
      <c r="D19" s="167">
        <f ca="1">ROUND(D17*D18,2)</f>
        <v>76.97</v>
      </c>
      <c r="E19" s="167">
        <f ca="1">ROUND(E17*E18,2)</f>
        <v>77.38</v>
      </c>
      <c r="F19" s="167">
        <f ca="1">ROUND(F17*F18,2)</f>
        <v>80.08</v>
      </c>
      <c r="G19" s="167">
        <f ca="1">ROUND(G17*G18,2)</f>
        <v>80.62</v>
      </c>
      <c r="H19" s="167">
        <f ca="1">ROUND(H17*H18,2)</f>
        <v>81.22</v>
      </c>
      <c r="I19" s="124"/>
    </row>
    <row r="20" spans="2:9" ht="15">
      <c r="C20" s="69" t="s">
        <v>468</v>
      </c>
      <c r="D20" s="180">
        <f ca="1">ROUND(D19*65/365,2)</f>
        <v>13.71</v>
      </c>
    </row>
    <row r="21" spans="2:9">
      <c r="B21" s="5" t="s">
        <v>425</v>
      </c>
      <c r="D21" s="124"/>
    </row>
    <row r="22" spans="2:9" ht="27" customHeight="1">
      <c r="B22" s="591" t="s">
        <v>947</v>
      </c>
      <c r="C22" s="591"/>
      <c r="D22" s="591"/>
      <c r="E22" s="591"/>
      <c r="F22" s="591"/>
      <c r="G22" s="591"/>
      <c r="H22" s="591"/>
    </row>
  </sheetData>
  <mergeCells count="4">
    <mergeCell ref="B2:H2"/>
    <mergeCell ref="B3:H3"/>
    <mergeCell ref="B4:H4"/>
    <mergeCell ref="B22:H22"/>
  </mergeCells>
  <pageMargins left="0.77" right="0.25" top="1" bottom="0.5" header="0.25" footer="0.25"/>
  <pageSetup paperSize="9" scale="120" orientation="landscape"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B1:I24"/>
  <sheetViews>
    <sheetView showGridLines="0" zoomScale="90" zoomScaleNormal="90" zoomScaleSheetLayoutView="90" workbookViewId="0">
      <selection activeCell="L24" sqref="L24"/>
    </sheetView>
  </sheetViews>
  <sheetFormatPr defaultColWidth="9.28515625" defaultRowHeight="14.25"/>
  <cols>
    <col min="1" max="1" width="3.28515625" style="5" customWidth="1"/>
    <col min="2" max="2" width="6.28515625" style="5" customWidth="1"/>
    <col min="3" max="3" width="60.28515625" style="5" customWidth="1"/>
    <col min="4" max="4" width="11.85546875" style="5" customWidth="1"/>
    <col min="5" max="5" width="12.140625" style="5" customWidth="1"/>
    <col min="6" max="8" width="11.28515625" style="5" customWidth="1"/>
    <col min="9" max="11" width="11.7109375" style="5" bestFit="1" customWidth="1"/>
    <col min="12" max="16384" width="9.28515625" style="5"/>
  </cols>
  <sheetData>
    <row r="1" spans="2:8" ht="15">
      <c r="B1" s="29"/>
    </row>
    <row r="2" spans="2:8" ht="14.25" customHeight="1">
      <c r="B2" s="553" t="s">
        <v>678</v>
      </c>
      <c r="C2" s="553"/>
      <c r="D2" s="553"/>
      <c r="E2" s="553"/>
      <c r="F2" s="553"/>
      <c r="G2" s="553"/>
      <c r="H2" s="553"/>
    </row>
    <row r="3" spans="2:8" ht="14.25" customHeight="1">
      <c r="B3" s="553" t="s">
        <v>948</v>
      </c>
      <c r="C3" s="553"/>
      <c r="D3" s="553"/>
      <c r="E3" s="553"/>
      <c r="F3" s="553"/>
      <c r="G3" s="553"/>
      <c r="H3" s="553"/>
    </row>
    <row r="4" spans="2:8" ht="14.25" customHeight="1">
      <c r="B4" s="554" t="s">
        <v>469</v>
      </c>
      <c r="C4" s="554"/>
      <c r="D4" s="554"/>
      <c r="E4" s="554"/>
      <c r="F4" s="554"/>
      <c r="G4" s="554"/>
      <c r="H4" s="554"/>
    </row>
    <row r="5" spans="2:8" ht="15">
      <c r="B5" s="39"/>
      <c r="C5" s="29"/>
      <c r="D5" s="30"/>
      <c r="E5" s="30"/>
      <c r="F5" s="30"/>
      <c r="G5" s="30"/>
    </row>
    <row r="6" spans="2:8" ht="15">
      <c r="H6" s="31" t="s">
        <v>4</v>
      </c>
    </row>
    <row r="7" spans="2:8" s="18" customFormat="1" ht="30">
      <c r="B7" s="373" t="s">
        <v>360</v>
      </c>
      <c r="C7" s="19" t="s">
        <v>14</v>
      </c>
      <c r="D7" s="20" t="s">
        <v>668</v>
      </c>
      <c r="E7" s="20" t="s">
        <v>669</v>
      </c>
      <c r="F7" s="20" t="s">
        <v>670</v>
      </c>
      <c r="G7" s="20" t="s">
        <v>671</v>
      </c>
      <c r="H7" s="20" t="s">
        <v>672</v>
      </c>
    </row>
    <row r="8" spans="2:8" s="18" customFormat="1" ht="15">
      <c r="B8" s="374"/>
      <c r="C8" s="25"/>
      <c r="D8" s="20" t="s">
        <v>12</v>
      </c>
      <c r="E8" s="20" t="s">
        <v>5</v>
      </c>
      <c r="F8" s="20" t="s">
        <v>8</v>
      </c>
      <c r="G8" s="20" t="s">
        <v>8</v>
      </c>
      <c r="H8" s="20" t="s">
        <v>8</v>
      </c>
    </row>
    <row r="9" spans="2:8">
      <c r="B9" s="55">
        <v>1</v>
      </c>
      <c r="C9" s="32" t="s">
        <v>404</v>
      </c>
      <c r="D9" s="177">
        <f>'F4'!F16*0.25</f>
        <v>2317.9949999999999</v>
      </c>
      <c r="E9" s="182">
        <f>D13</f>
        <v>2318.3784999999998</v>
      </c>
      <c r="F9" s="182">
        <f>E13</f>
        <v>2565.8905380061228</v>
      </c>
      <c r="G9" s="182">
        <f t="shared" ref="G9:H9" si="0">F13</f>
        <v>2565.8905380061228</v>
      </c>
      <c r="H9" s="182">
        <f t="shared" si="0"/>
        <v>2565.8905380061228</v>
      </c>
    </row>
    <row r="10" spans="2:8">
      <c r="B10" s="25">
        <f>B9+1</f>
        <v>2</v>
      </c>
      <c r="C10" s="32" t="s">
        <v>405</v>
      </c>
      <c r="D10" s="177">
        <f>'F4'!G16</f>
        <v>1.534</v>
      </c>
      <c r="E10" s="182">
        <f>'F3'!E12</f>
        <v>990.04815202449265</v>
      </c>
      <c r="F10" s="182">
        <f>'F3'!F12</f>
        <v>0</v>
      </c>
      <c r="G10" s="182">
        <f>'F3'!G12</f>
        <v>0</v>
      </c>
      <c r="H10" s="182">
        <f>'F3'!H12</f>
        <v>0</v>
      </c>
    </row>
    <row r="11" spans="2:8">
      <c r="B11" s="25">
        <f t="shared" ref="B11:B21" si="1">B10+1</f>
        <v>3</v>
      </c>
      <c r="C11" s="34" t="s">
        <v>15</v>
      </c>
      <c r="D11" s="181">
        <f t="shared" ref="D11:H11" si="2">D10*25%</f>
        <v>0.38350000000000001</v>
      </c>
      <c r="E11" s="181">
        <f t="shared" si="2"/>
        <v>247.51203800612316</v>
      </c>
      <c r="F11" s="181">
        <f t="shared" si="2"/>
        <v>0</v>
      </c>
      <c r="G11" s="181">
        <f t="shared" si="2"/>
        <v>0</v>
      </c>
      <c r="H11" s="181">
        <f t="shared" si="2"/>
        <v>0</v>
      </c>
    </row>
    <row r="12" spans="2:8" ht="28.5">
      <c r="B12" s="25">
        <f t="shared" si="1"/>
        <v>4</v>
      </c>
      <c r="C12" s="69" t="s">
        <v>16</v>
      </c>
      <c r="D12" s="46"/>
      <c r="E12" s="46"/>
      <c r="F12" s="46"/>
      <c r="G12" s="46"/>
      <c r="H12" s="46"/>
    </row>
    <row r="13" spans="2:8" s="38" customFormat="1" ht="15">
      <c r="B13" s="25">
        <f t="shared" si="1"/>
        <v>5</v>
      </c>
      <c r="C13" s="43" t="s">
        <v>17</v>
      </c>
      <c r="D13" s="183">
        <f t="shared" ref="D13:H13" si="3">D9+D11-D12</f>
        <v>2318.3784999999998</v>
      </c>
      <c r="E13" s="183">
        <f t="shared" si="3"/>
        <v>2565.8905380061228</v>
      </c>
      <c r="F13" s="183">
        <f t="shared" si="3"/>
        <v>2565.8905380061228</v>
      </c>
      <c r="G13" s="183">
        <f t="shared" si="3"/>
        <v>2565.8905380061228</v>
      </c>
      <c r="H13" s="183">
        <f t="shared" si="3"/>
        <v>2565.8905380061228</v>
      </c>
    </row>
    <row r="14" spans="2:8" s="38" customFormat="1" ht="15">
      <c r="B14" s="25"/>
      <c r="C14" s="71" t="s">
        <v>470</v>
      </c>
      <c r="D14" s="315"/>
      <c r="E14" s="315"/>
      <c r="F14" s="315"/>
      <c r="G14" s="315"/>
      <c r="H14" s="315"/>
    </row>
    <row r="15" spans="2:8" s="38" customFormat="1" ht="15">
      <c r="B15" s="25">
        <f>B13+1</f>
        <v>6</v>
      </c>
      <c r="C15" s="43" t="s">
        <v>471</v>
      </c>
      <c r="D15" s="172">
        <v>0.155</v>
      </c>
      <c r="E15" s="172">
        <v>0.155</v>
      </c>
      <c r="F15" s="172">
        <v>0.155</v>
      </c>
      <c r="G15" s="172">
        <v>0.155</v>
      </c>
      <c r="H15" s="172">
        <v>0.155</v>
      </c>
    </row>
    <row r="16" spans="2:8" s="38" customFormat="1" ht="15">
      <c r="B16" s="25">
        <f>B15+1</f>
        <v>7</v>
      </c>
      <c r="C16" s="43" t="s">
        <v>472</v>
      </c>
      <c r="D16" s="316">
        <v>0.25168000000000001</v>
      </c>
      <c r="E16" s="316">
        <v>0.25168000000000001</v>
      </c>
      <c r="F16" s="316">
        <v>0.25168000000000001</v>
      </c>
      <c r="G16" s="316">
        <v>0.25168000000000001</v>
      </c>
      <c r="H16" s="316">
        <v>0.25168000000000001</v>
      </c>
    </row>
    <row r="17" spans="2:9" s="38" customFormat="1" ht="15">
      <c r="B17" s="25">
        <f>B16+1</f>
        <v>8</v>
      </c>
      <c r="C17" s="35" t="s">
        <v>470</v>
      </c>
      <c r="D17" s="317">
        <f t="shared" ref="D17:H17" si="4">D15/(1-D16)</f>
        <v>0.20713063929869574</v>
      </c>
      <c r="E17" s="317">
        <f t="shared" si="4"/>
        <v>0.20713063929869574</v>
      </c>
      <c r="F17" s="317">
        <f t="shared" si="4"/>
        <v>0.20713063929869574</v>
      </c>
      <c r="G17" s="317">
        <f t="shared" si="4"/>
        <v>0.20713063929869574</v>
      </c>
      <c r="H17" s="317">
        <f t="shared" si="4"/>
        <v>0.20713063929869574</v>
      </c>
    </row>
    <row r="18" spans="2:9" ht="15">
      <c r="B18" s="25"/>
      <c r="C18" s="71" t="s">
        <v>119</v>
      </c>
      <c r="D18" s="34"/>
      <c r="E18" s="34"/>
      <c r="F18" s="34"/>
      <c r="G18" s="34"/>
      <c r="H18" s="34"/>
    </row>
    <row r="19" spans="2:9" ht="17.25" customHeight="1">
      <c r="B19" s="25">
        <f>B17+1</f>
        <v>9</v>
      </c>
      <c r="C19" s="69" t="s">
        <v>406</v>
      </c>
      <c r="D19" s="167">
        <f t="shared" ref="D19:H19" si="5">D9*D17</f>
        <v>480.12778624118022</v>
      </c>
      <c r="E19" s="167">
        <f t="shared" si="5"/>
        <v>480.20722084135122</v>
      </c>
      <c r="F19" s="167">
        <f t="shared" si="5"/>
        <v>531.47454750768259</v>
      </c>
      <c r="G19" s="167">
        <f t="shared" si="5"/>
        <v>531.47454750768259</v>
      </c>
      <c r="H19" s="167">
        <f t="shared" si="5"/>
        <v>531.47454750768259</v>
      </c>
    </row>
    <row r="20" spans="2:9" ht="18.75" customHeight="1">
      <c r="B20" s="25">
        <f t="shared" si="1"/>
        <v>10</v>
      </c>
      <c r="C20" s="69" t="s">
        <v>407</v>
      </c>
      <c r="D20" s="167">
        <f t="shared" ref="D20:H20" si="6">AVERAGE(D9,D13)*D17-D19</f>
        <v>3.9717300085499119E-2</v>
      </c>
      <c r="E20" s="167">
        <f t="shared" si="6"/>
        <v>25.633663333165714</v>
      </c>
      <c r="F20" s="167">
        <f t="shared" si="6"/>
        <v>0</v>
      </c>
      <c r="G20" s="167">
        <f t="shared" si="6"/>
        <v>0</v>
      </c>
      <c r="H20" s="167">
        <f t="shared" si="6"/>
        <v>0</v>
      </c>
    </row>
    <row r="21" spans="2:9" ht="15">
      <c r="B21" s="25">
        <f t="shared" si="1"/>
        <v>11</v>
      </c>
      <c r="C21" s="45" t="s">
        <v>120</v>
      </c>
      <c r="D21" s="167">
        <f t="shared" ref="D21" si="7">D19+D20</f>
        <v>480.16750354126572</v>
      </c>
      <c r="E21" s="167">
        <f>ROUND((E19+E20),2)</f>
        <v>505.84</v>
      </c>
      <c r="F21" s="167">
        <f>ROUND((F19+F20),2)</f>
        <v>531.47</v>
      </c>
      <c r="G21" s="167">
        <f>ROUND((G19+G20),2)</f>
        <v>531.47</v>
      </c>
      <c r="H21" s="167">
        <f>ROUND((H19+H20),2)</f>
        <v>531.47</v>
      </c>
    </row>
    <row r="22" spans="2:9" ht="15">
      <c r="B22" s="25">
        <v>12</v>
      </c>
      <c r="C22" s="45" t="s">
        <v>941</v>
      </c>
      <c r="D22" s="165">
        <f>ROUND(D21*65/365,2)</f>
        <v>85.51</v>
      </c>
      <c r="E22" s="165">
        <f>ROUND(E21,2)</f>
        <v>505.84</v>
      </c>
      <c r="F22" s="165">
        <f>ROUND(F21,2)</f>
        <v>531.47</v>
      </c>
      <c r="G22" s="165">
        <f>ROUND(G21,2)</f>
        <v>531.47</v>
      </c>
      <c r="H22" s="165">
        <f>ROUND(H21,2)</f>
        <v>531.47</v>
      </c>
      <c r="I22" s="124"/>
    </row>
    <row r="23" spans="2:9">
      <c r="C23" s="5" t="s">
        <v>425</v>
      </c>
    </row>
    <row r="24" spans="2:9">
      <c r="C24" s="5" t="s">
        <v>667</v>
      </c>
    </row>
  </sheetData>
  <mergeCells count="3">
    <mergeCell ref="B2:H2"/>
    <mergeCell ref="B4:H4"/>
    <mergeCell ref="B3:H3"/>
  </mergeCells>
  <pageMargins left="1.02" right="0.25" top="0.5" bottom="1" header="0.25" footer="0.25"/>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B1:O31"/>
  <sheetViews>
    <sheetView showGridLines="0" zoomScale="90" zoomScaleNormal="90" zoomScaleSheetLayoutView="90" workbookViewId="0">
      <selection activeCell="L24" sqref="L24"/>
    </sheetView>
  </sheetViews>
  <sheetFormatPr defaultColWidth="9.28515625" defaultRowHeight="14.25"/>
  <cols>
    <col min="1" max="1" width="2.7109375" style="5" customWidth="1"/>
    <col min="2" max="2" width="6.28515625" style="5" customWidth="1"/>
    <col min="3" max="3" width="50.42578125" style="5" customWidth="1"/>
    <col min="4" max="5" width="11.28515625" style="5" customWidth="1"/>
    <col min="6" max="6" width="13.7109375" style="5" customWidth="1"/>
    <col min="7" max="13" width="11.28515625" style="5" customWidth="1"/>
    <col min="14" max="16" width="11.7109375" style="5" bestFit="1" customWidth="1"/>
    <col min="17" max="16384" width="9.28515625" style="5"/>
  </cols>
  <sheetData>
    <row r="1" spans="2:13" ht="15">
      <c r="B1" s="29"/>
    </row>
    <row r="2" spans="2:13" ht="14.25" customHeight="1">
      <c r="B2" s="553" t="s">
        <v>678</v>
      </c>
      <c r="C2" s="553"/>
      <c r="D2" s="553"/>
      <c r="E2" s="553"/>
      <c r="F2" s="553"/>
      <c r="G2" s="553"/>
      <c r="H2" s="553"/>
      <c r="I2" s="553"/>
      <c r="J2" s="553"/>
      <c r="K2" s="553"/>
      <c r="L2" s="553"/>
      <c r="M2" s="553"/>
    </row>
    <row r="3" spans="2:13" ht="14.25" customHeight="1">
      <c r="B3" s="553" t="s">
        <v>948</v>
      </c>
      <c r="C3" s="553"/>
      <c r="D3" s="553"/>
      <c r="E3" s="553"/>
      <c r="F3" s="553"/>
      <c r="G3" s="553"/>
      <c r="H3" s="553"/>
      <c r="I3" s="553"/>
      <c r="J3" s="553"/>
      <c r="K3" s="553"/>
      <c r="L3" s="553"/>
      <c r="M3" s="553"/>
    </row>
    <row r="4" spans="2:13" ht="14.25" customHeight="1">
      <c r="B4" s="554" t="s">
        <v>473</v>
      </c>
      <c r="C4" s="554"/>
      <c r="D4" s="554"/>
      <c r="E4" s="554"/>
      <c r="F4" s="554"/>
      <c r="G4" s="554"/>
      <c r="H4" s="554"/>
      <c r="I4" s="554"/>
      <c r="J4" s="554"/>
      <c r="K4" s="554"/>
      <c r="L4" s="554"/>
      <c r="M4" s="554"/>
    </row>
    <row r="5" spans="2:13" ht="15">
      <c r="B5" s="39"/>
      <c r="C5" s="29"/>
      <c r="D5" s="30"/>
      <c r="E5" s="30"/>
      <c r="F5" s="30"/>
      <c r="G5" s="30"/>
      <c r="H5" s="30"/>
      <c r="I5" s="30"/>
      <c r="J5" s="30"/>
      <c r="K5" s="30"/>
      <c r="L5" s="30"/>
    </row>
    <row r="6" spans="2:13" ht="15">
      <c r="M6" s="31" t="s">
        <v>4</v>
      </c>
    </row>
    <row r="7" spans="2:13" s="18" customFormat="1" ht="15" customHeight="1">
      <c r="B7" s="543" t="s">
        <v>360</v>
      </c>
      <c r="C7" s="551" t="s">
        <v>14</v>
      </c>
      <c r="D7" s="592" t="s">
        <v>668</v>
      </c>
      <c r="E7" s="593"/>
      <c r="F7" s="594"/>
      <c r="G7" s="592" t="s">
        <v>669</v>
      </c>
      <c r="H7" s="593"/>
      <c r="I7" s="593"/>
      <c r="J7" s="593"/>
      <c r="K7" s="542" t="s">
        <v>410</v>
      </c>
      <c r="L7" s="542"/>
      <c r="M7" s="542"/>
    </row>
    <row r="8" spans="2:13" s="18" customFormat="1" ht="30">
      <c r="B8" s="549"/>
      <c r="C8" s="551"/>
      <c r="D8" s="20" t="s">
        <v>556</v>
      </c>
      <c r="E8" s="20" t="s">
        <v>422</v>
      </c>
      <c r="F8" s="20" t="s">
        <v>365</v>
      </c>
      <c r="G8" s="20" t="s">
        <v>556</v>
      </c>
      <c r="H8" s="20" t="s">
        <v>412</v>
      </c>
      <c r="I8" s="20" t="s">
        <v>413</v>
      </c>
      <c r="J8" s="20" t="s">
        <v>421</v>
      </c>
      <c r="K8" s="20" t="s">
        <v>670</v>
      </c>
      <c r="L8" s="20" t="s">
        <v>671</v>
      </c>
      <c r="M8" s="20" t="s">
        <v>672</v>
      </c>
    </row>
    <row r="9" spans="2:13" s="18" customFormat="1" ht="15">
      <c r="B9" s="550"/>
      <c r="C9" s="552"/>
      <c r="D9" s="20" t="s">
        <v>10</v>
      </c>
      <c r="E9" s="20" t="s">
        <v>12</v>
      </c>
      <c r="F9" s="20" t="s">
        <v>411</v>
      </c>
      <c r="G9" s="20" t="s">
        <v>10</v>
      </c>
      <c r="H9" s="20" t="s">
        <v>3</v>
      </c>
      <c r="I9" s="20" t="s">
        <v>5</v>
      </c>
      <c r="J9" s="20" t="s">
        <v>5</v>
      </c>
      <c r="K9" s="20" t="s">
        <v>8</v>
      </c>
      <c r="L9" s="20" t="s">
        <v>8</v>
      </c>
      <c r="M9" s="20" t="s">
        <v>8</v>
      </c>
    </row>
    <row r="10" spans="2:13">
      <c r="B10" s="55">
        <v>1</v>
      </c>
      <c r="C10" s="32" t="s">
        <v>474</v>
      </c>
      <c r="D10" s="2"/>
      <c r="E10" s="32"/>
      <c r="F10" s="32"/>
      <c r="G10" s="26"/>
      <c r="H10" s="26"/>
      <c r="I10" s="26"/>
      <c r="J10" s="26"/>
      <c r="K10" s="69"/>
      <c r="L10" s="26"/>
      <c r="M10" s="26"/>
    </row>
    <row r="11" spans="2:13">
      <c r="B11" s="55">
        <f>B10+1</f>
        <v>2</v>
      </c>
      <c r="C11" s="32" t="s">
        <v>475</v>
      </c>
      <c r="D11" s="2"/>
      <c r="E11" s="32"/>
      <c r="F11" s="32"/>
      <c r="G11" s="26"/>
      <c r="H11" s="26"/>
      <c r="I11" s="26"/>
      <c r="J11" s="26"/>
      <c r="K11" s="69"/>
      <c r="L11" s="26"/>
      <c r="M11" s="26"/>
    </row>
    <row r="12" spans="2:13">
      <c r="B12" s="55">
        <f>B11+1</f>
        <v>3</v>
      </c>
      <c r="C12" s="32" t="s">
        <v>476</v>
      </c>
      <c r="D12" s="2"/>
      <c r="E12" s="32"/>
      <c r="F12" s="32"/>
      <c r="G12" s="26"/>
      <c r="H12" s="26"/>
      <c r="I12" s="26"/>
      <c r="J12" s="26"/>
      <c r="K12" s="69"/>
      <c r="L12" s="26"/>
      <c r="M12" s="26"/>
    </row>
    <row r="13" spans="2:13">
      <c r="B13" s="25">
        <f t="shared" ref="B13:B21" si="0">B12+1</f>
        <v>4</v>
      </c>
      <c r="C13" s="34" t="s">
        <v>477</v>
      </c>
      <c r="D13" s="2"/>
      <c r="E13" s="32"/>
      <c r="F13" s="32"/>
      <c r="G13" s="26"/>
      <c r="H13" s="26"/>
      <c r="I13" s="26"/>
      <c r="J13" s="26"/>
      <c r="K13" s="69"/>
      <c r="L13" s="26"/>
      <c r="M13" s="26"/>
    </row>
    <row r="14" spans="2:13" ht="15.75" customHeight="1">
      <c r="B14" s="25">
        <f t="shared" si="0"/>
        <v>5</v>
      </c>
      <c r="C14" s="69" t="s">
        <v>478</v>
      </c>
      <c r="D14" s="70"/>
      <c r="E14" s="34"/>
      <c r="F14" s="3"/>
      <c r="G14" s="34"/>
      <c r="H14" s="34"/>
      <c r="I14" s="34"/>
      <c r="J14" s="34"/>
      <c r="K14" s="69"/>
      <c r="L14" s="34"/>
      <c r="M14" s="34"/>
    </row>
    <row r="15" spans="2:13" s="38" customFormat="1" ht="15">
      <c r="B15" s="25">
        <f t="shared" si="0"/>
        <v>6</v>
      </c>
      <c r="C15" s="43" t="s">
        <v>479</v>
      </c>
      <c r="D15" s="70"/>
      <c r="E15" s="34"/>
      <c r="F15" s="3"/>
      <c r="G15" s="34"/>
      <c r="H15" s="34"/>
      <c r="I15" s="34"/>
      <c r="J15" s="34"/>
      <c r="K15" s="69"/>
      <c r="L15" s="34"/>
      <c r="M15" s="34"/>
    </row>
    <row r="16" spans="2:13" s="38" customFormat="1" ht="15">
      <c r="B16" s="25">
        <f t="shared" si="0"/>
        <v>7</v>
      </c>
      <c r="C16" s="69" t="s">
        <v>480</v>
      </c>
      <c r="D16" s="70"/>
      <c r="E16" s="34"/>
      <c r="F16" s="3"/>
      <c r="G16" s="34"/>
      <c r="H16" s="34"/>
      <c r="I16" s="34"/>
      <c r="J16" s="34"/>
      <c r="K16" s="69"/>
      <c r="L16" s="34"/>
      <c r="M16" s="34"/>
    </row>
    <row r="17" spans="2:15" s="38" customFormat="1" ht="12.75" customHeight="1">
      <c r="B17" s="25">
        <f t="shared" si="0"/>
        <v>8</v>
      </c>
      <c r="C17" s="43" t="s">
        <v>481</v>
      </c>
      <c r="D17" s="70"/>
      <c r="E17" s="34"/>
      <c r="F17" s="3"/>
      <c r="G17" s="34"/>
      <c r="H17" s="34"/>
      <c r="I17" s="34"/>
      <c r="J17" s="34"/>
      <c r="K17" s="69"/>
      <c r="L17" s="34"/>
      <c r="M17" s="34"/>
    </row>
    <row r="18" spans="2:15" s="38" customFormat="1" ht="15">
      <c r="B18" s="25">
        <f t="shared" si="0"/>
        <v>9</v>
      </c>
      <c r="C18" s="43" t="s">
        <v>94</v>
      </c>
      <c r="D18" s="70"/>
      <c r="E18" s="34"/>
      <c r="F18" s="3"/>
      <c r="G18" s="34"/>
      <c r="H18" s="34"/>
      <c r="I18" s="34"/>
      <c r="J18" s="34"/>
      <c r="K18" s="69"/>
      <c r="L18" s="34"/>
      <c r="M18" s="34"/>
    </row>
    <row r="19" spans="2:15" s="38" customFormat="1" ht="15">
      <c r="B19" s="25">
        <f t="shared" si="0"/>
        <v>10</v>
      </c>
      <c r="C19" s="43" t="s">
        <v>482</v>
      </c>
      <c r="D19" s="70"/>
      <c r="E19" s="34"/>
      <c r="F19" s="3"/>
      <c r="G19" s="34"/>
      <c r="H19" s="34"/>
      <c r="I19" s="34"/>
      <c r="J19" s="34"/>
      <c r="K19" s="69"/>
      <c r="L19" s="34"/>
      <c r="M19" s="34"/>
    </row>
    <row r="20" spans="2:15">
      <c r="B20" s="25">
        <f t="shared" si="0"/>
        <v>11</v>
      </c>
      <c r="C20" s="69" t="s">
        <v>104</v>
      </c>
      <c r="D20" s="70"/>
      <c r="E20" s="34"/>
      <c r="F20" s="3"/>
      <c r="G20" s="34"/>
      <c r="H20" s="34"/>
      <c r="I20" s="34"/>
      <c r="J20" s="34"/>
      <c r="K20" s="69"/>
      <c r="L20" s="34"/>
      <c r="M20" s="34"/>
    </row>
    <row r="21" spans="2:15">
      <c r="B21" s="25">
        <f t="shared" si="0"/>
        <v>12</v>
      </c>
      <c r="C21" s="69" t="s">
        <v>9</v>
      </c>
      <c r="D21" s="70"/>
      <c r="E21" s="34"/>
      <c r="F21" s="3"/>
      <c r="G21" s="34"/>
      <c r="H21" s="34"/>
      <c r="I21" s="34"/>
      <c r="J21" s="34"/>
      <c r="K21" s="69"/>
      <c r="L21" s="34"/>
      <c r="M21" s="34"/>
    </row>
    <row r="22" spans="2:15" ht="15">
      <c r="B22" s="25"/>
      <c r="C22" s="36" t="s">
        <v>78</v>
      </c>
      <c r="D22" s="167">
        <f>SUM(D10:D21)</f>
        <v>0</v>
      </c>
      <c r="E22" s="167">
        <f t="shared" ref="E22:M22" si="1">SUM(E10:E21)</f>
        <v>0</v>
      </c>
      <c r="F22" s="167">
        <f t="shared" si="1"/>
        <v>0</v>
      </c>
      <c r="G22" s="167">
        <f t="shared" si="1"/>
        <v>0</v>
      </c>
      <c r="H22" s="167">
        <f t="shared" si="1"/>
        <v>0</v>
      </c>
      <c r="I22" s="167">
        <f t="shared" si="1"/>
        <v>0</v>
      </c>
      <c r="J22" s="167">
        <f t="shared" si="1"/>
        <v>0</v>
      </c>
      <c r="K22" s="167">
        <f t="shared" si="1"/>
        <v>0</v>
      </c>
      <c r="L22" s="167">
        <f t="shared" si="1"/>
        <v>0</v>
      </c>
      <c r="M22" s="167">
        <f t="shared" si="1"/>
        <v>0</v>
      </c>
    </row>
    <row r="23" spans="2:15" ht="15">
      <c r="B23" s="38" t="s">
        <v>425</v>
      </c>
      <c r="C23" s="5" t="s">
        <v>830</v>
      </c>
    </row>
    <row r="31" spans="2:15">
      <c r="O31" s="5">
        <v>90</v>
      </c>
    </row>
  </sheetData>
  <mergeCells count="8">
    <mergeCell ref="B2:M2"/>
    <mergeCell ref="B3:M3"/>
    <mergeCell ref="B4:M4"/>
    <mergeCell ref="B7:B9"/>
    <mergeCell ref="C7:C9"/>
    <mergeCell ref="D7:F7"/>
    <mergeCell ref="G7:J7"/>
    <mergeCell ref="K7:M7"/>
  </mergeCells>
  <pageMargins left="0.52" right="0.25" top="0.5" bottom="1" header="0.25" footer="0.25"/>
  <pageSetup paperSize="9" scale="82"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B1:I28"/>
  <sheetViews>
    <sheetView showGridLines="0" view="pageBreakPreview" zoomScale="70" zoomScaleNormal="80" zoomScaleSheetLayoutView="70" workbookViewId="0">
      <selection activeCell="L24" sqref="L24"/>
    </sheetView>
  </sheetViews>
  <sheetFormatPr defaultRowHeight="18"/>
  <cols>
    <col min="1" max="1" width="1.140625" style="252" customWidth="1"/>
    <col min="2" max="2" width="7.28515625" style="252" customWidth="1"/>
    <col min="3" max="3" width="27.7109375" style="252" customWidth="1"/>
    <col min="4" max="4" width="16.85546875" style="252" customWidth="1"/>
    <col min="5" max="5" width="19" style="252" customWidth="1"/>
    <col min="6" max="6" width="15.7109375" style="252" customWidth="1"/>
    <col min="7" max="7" width="19.5703125" style="252" customWidth="1"/>
    <col min="8" max="8" width="18" style="252" customWidth="1"/>
    <col min="9" max="9" width="14.5703125" style="252" customWidth="1"/>
    <col min="10" max="16384" width="9.140625" style="252"/>
  </cols>
  <sheetData>
    <row r="1" spans="2:8">
      <c r="B1" s="610" t="s">
        <v>678</v>
      </c>
      <c r="C1" s="610"/>
      <c r="D1" s="610"/>
      <c r="E1" s="610"/>
      <c r="F1" s="610"/>
      <c r="G1" s="610"/>
      <c r="H1" s="610"/>
    </row>
    <row r="2" spans="2:8">
      <c r="B2" s="610" t="s">
        <v>948</v>
      </c>
      <c r="C2" s="610"/>
      <c r="D2" s="610"/>
      <c r="E2" s="610"/>
      <c r="F2" s="610"/>
      <c r="G2" s="610"/>
      <c r="H2" s="610"/>
    </row>
    <row r="3" spans="2:8">
      <c r="B3" s="610" t="s">
        <v>484</v>
      </c>
      <c r="C3" s="610"/>
      <c r="D3" s="610"/>
      <c r="E3" s="610"/>
      <c r="F3" s="610"/>
      <c r="G3" s="610"/>
      <c r="H3" s="610"/>
    </row>
    <row r="4" spans="2:8" ht="26.25" customHeight="1">
      <c r="B4" s="611" t="s">
        <v>2</v>
      </c>
      <c r="C4" s="613" t="s">
        <v>14</v>
      </c>
      <c r="D4" s="253" t="s">
        <v>797</v>
      </c>
      <c r="E4" s="253" t="s">
        <v>798</v>
      </c>
      <c r="F4" s="253" t="s">
        <v>799</v>
      </c>
      <c r="G4" s="253" t="s">
        <v>800</v>
      </c>
      <c r="H4" s="254" t="s">
        <v>683</v>
      </c>
    </row>
    <row r="5" spans="2:8" ht="27.75" customHeight="1">
      <c r="B5" s="611"/>
      <c r="C5" s="613"/>
      <c r="D5" s="255" t="s">
        <v>483</v>
      </c>
      <c r="E5" s="255" t="s">
        <v>483</v>
      </c>
      <c r="F5" s="255" t="s">
        <v>483</v>
      </c>
      <c r="G5" s="255" t="s">
        <v>483</v>
      </c>
      <c r="H5" s="255" t="s">
        <v>483</v>
      </c>
    </row>
    <row r="6" spans="2:8" ht="21" customHeight="1">
      <c r="B6" s="612"/>
      <c r="C6" s="614"/>
      <c r="D6" s="255"/>
      <c r="E6" s="255" t="s">
        <v>8</v>
      </c>
      <c r="F6" s="255" t="s">
        <v>8</v>
      </c>
      <c r="G6" s="255" t="s">
        <v>8</v>
      </c>
      <c r="H6" s="255" t="s">
        <v>8</v>
      </c>
    </row>
    <row r="7" spans="2:8" ht="12" customHeight="1">
      <c r="B7" s="271"/>
      <c r="C7" s="268"/>
      <c r="D7" s="260"/>
      <c r="E7" s="261"/>
      <c r="F7" s="261"/>
      <c r="G7" s="257"/>
      <c r="H7" s="262"/>
    </row>
    <row r="8" spans="2:8" ht="20.25" customHeight="1">
      <c r="B8" s="258">
        <v>2</v>
      </c>
      <c r="C8" s="256" t="s">
        <v>804</v>
      </c>
      <c r="D8" s="260"/>
      <c r="E8" s="261"/>
      <c r="F8" s="261"/>
      <c r="G8" s="257"/>
      <c r="H8" s="262"/>
    </row>
    <row r="9" spans="2:8" ht="23.25" customHeight="1">
      <c r="B9" s="258" t="s">
        <v>60</v>
      </c>
      <c r="C9" s="259" t="s">
        <v>61</v>
      </c>
      <c r="D9" s="269"/>
      <c r="E9" s="262">
        <v>1</v>
      </c>
      <c r="F9" s="260"/>
      <c r="G9" s="262">
        <v>1</v>
      </c>
      <c r="H9" s="262"/>
    </row>
    <row r="10" spans="2:8" ht="24" customHeight="1">
      <c r="B10" s="263"/>
      <c r="C10" s="264" t="s">
        <v>62</v>
      </c>
      <c r="D10" s="269"/>
      <c r="E10" s="265">
        <v>20</v>
      </c>
      <c r="F10" s="607" t="s">
        <v>796</v>
      </c>
      <c r="G10" s="265">
        <v>20</v>
      </c>
      <c r="H10" s="607" t="s">
        <v>796</v>
      </c>
    </row>
    <row r="11" spans="2:8" ht="49.5">
      <c r="B11" s="263"/>
      <c r="C11" s="266" t="s">
        <v>801</v>
      </c>
      <c r="D11" s="270"/>
      <c r="E11" s="265" t="s">
        <v>805</v>
      </c>
      <c r="F11" s="608"/>
      <c r="G11" s="265" t="s">
        <v>806</v>
      </c>
      <c r="H11" s="608"/>
    </row>
    <row r="12" spans="2:8" ht="21" customHeight="1">
      <c r="B12" s="263"/>
      <c r="C12" s="264" t="s">
        <v>63</v>
      </c>
      <c r="D12" s="269"/>
      <c r="E12" s="265" t="s">
        <v>802</v>
      </c>
      <c r="F12" s="609"/>
      <c r="G12" s="265" t="s">
        <v>802</v>
      </c>
      <c r="H12" s="609"/>
    </row>
    <row r="13" spans="2:8" ht="4.5" customHeight="1">
      <c r="B13" s="263"/>
      <c r="C13" s="267"/>
      <c r="D13" s="260"/>
      <c r="E13" s="260"/>
      <c r="F13" s="260"/>
      <c r="G13" s="257"/>
      <c r="H13" s="257"/>
    </row>
    <row r="14" spans="2:8">
      <c r="B14" s="258" t="s">
        <v>64</v>
      </c>
      <c r="C14" s="268" t="s">
        <v>65</v>
      </c>
      <c r="D14" s="269">
        <v>5</v>
      </c>
      <c r="E14" s="260"/>
      <c r="F14" s="260"/>
      <c r="G14" s="257"/>
      <c r="H14" s="257"/>
    </row>
    <row r="15" spans="2:8" ht="24" customHeight="1">
      <c r="B15" s="263"/>
      <c r="C15" s="264" t="s">
        <v>62</v>
      </c>
      <c r="D15" s="269">
        <v>47.71</v>
      </c>
      <c r="E15" s="260"/>
      <c r="F15" s="260"/>
      <c r="G15" s="257"/>
      <c r="H15" s="604" t="s">
        <v>803</v>
      </c>
    </row>
    <row r="16" spans="2:8" ht="33">
      <c r="B16" s="263"/>
      <c r="C16" s="266" t="s">
        <v>801</v>
      </c>
      <c r="D16" s="270">
        <v>47.738888888888887</v>
      </c>
      <c r="E16" s="260"/>
      <c r="F16" s="260"/>
      <c r="G16" s="257"/>
      <c r="H16" s="605"/>
    </row>
    <row r="17" spans="2:9" ht="27.75" customHeight="1">
      <c r="B17" s="271"/>
      <c r="C17" s="264" t="s">
        <v>66</v>
      </c>
      <c r="D17" s="269" t="s">
        <v>807</v>
      </c>
      <c r="E17" s="257"/>
      <c r="F17" s="257"/>
      <c r="G17" s="257"/>
      <c r="H17" s="606"/>
    </row>
    <row r="18" spans="2:9" ht="20.25">
      <c r="B18" s="597" t="s">
        <v>808</v>
      </c>
      <c r="C18" s="597"/>
      <c r="D18" s="597"/>
      <c r="E18" s="597"/>
      <c r="F18" s="597"/>
      <c r="G18" s="597"/>
      <c r="H18" s="597"/>
      <c r="I18" s="597"/>
    </row>
    <row r="19" spans="2:9">
      <c r="B19"/>
      <c r="C19"/>
      <c r="D19"/>
      <c r="E19"/>
      <c r="F19"/>
      <c r="G19"/>
      <c r="H19"/>
      <c r="I19"/>
    </row>
    <row r="20" spans="2:9">
      <c r="B20" s="598" t="s">
        <v>809</v>
      </c>
      <c r="C20" s="598" t="s">
        <v>810</v>
      </c>
      <c r="D20" s="600" t="s">
        <v>811</v>
      </c>
      <c r="E20" s="601"/>
      <c r="F20" s="600" t="s">
        <v>812</v>
      </c>
      <c r="G20" s="601"/>
      <c r="H20" s="602" t="s">
        <v>813</v>
      </c>
      <c r="I20" s="598" t="s">
        <v>814</v>
      </c>
    </row>
    <row r="21" spans="2:9">
      <c r="B21" s="599"/>
      <c r="C21" s="599"/>
      <c r="D21" s="272" t="s">
        <v>565</v>
      </c>
      <c r="E21" s="272" t="s">
        <v>815</v>
      </c>
      <c r="F21" s="272" t="s">
        <v>565</v>
      </c>
      <c r="G21" s="272" t="s">
        <v>815</v>
      </c>
      <c r="H21" s="603"/>
      <c r="I21" s="599"/>
    </row>
    <row r="22" spans="2:9" ht="38.25">
      <c r="B22" s="273">
        <v>2</v>
      </c>
      <c r="C22" s="273">
        <v>1</v>
      </c>
      <c r="D22" s="274">
        <v>45683</v>
      </c>
      <c r="E22" s="275">
        <v>0.48402777777777778</v>
      </c>
      <c r="F22" s="274">
        <v>45683</v>
      </c>
      <c r="G22" s="275">
        <v>0.75138888888888899</v>
      </c>
      <c r="H22" s="275">
        <v>0.2673611111111111</v>
      </c>
      <c r="I22" s="276" t="s">
        <v>816</v>
      </c>
    </row>
    <row r="23" spans="2:9" ht="38.25">
      <c r="B23" s="277">
        <v>2</v>
      </c>
      <c r="C23" s="277">
        <v>2</v>
      </c>
      <c r="D23" s="278">
        <v>45690</v>
      </c>
      <c r="E23" s="279">
        <v>1.3888888888888888E-2</v>
      </c>
      <c r="F23" s="278">
        <v>45692</v>
      </c>
      <c r="G23" s="279">
        <v>0.69513888888888886</v>
      </c>
      <c r="H23" s="280">
        <v>2.6812499999999999</v>
      </c>
      <c r="I23" s="281" t="s">
        <v>817</v>
      </c>
    </row>
    <row r="24" spans="2:9" ht="38.25">
      <c r="B24" s="273">
        <v>2</v>
      </c>
      <c r="C24" s="273">
        <v>3</v>
      </c>
      <c r="D24" s="274">
        <v>45693</v>
      </c>
      <c r="E24" s="275">
        <v>0.83194444444444438</v>
      </c>
      <c r="F24" s="274">
        <v>45694</v>
      </c>
      <c r="G24" s="275">
        <v>0.24166666666666667</v>
      </c>
      <c r="H24" s="275">
        <v>0.40972222222222227</v>
      </c>
      <c r="I24" s="276" t="s">
        <v>818</v>
      </c>
    </row>
    <row r="25" spans="2:9" ht="51">
      <c r="B25" s="277">
        <v>2</v>
      </c>
      <c r="C25" s="277">
        <v>4</v>
      </c>
      <c r="D25" s="278">
        <v>45698</v>
      </c>
      <c r="E25" s="279">
        <v>0.9145833333333333</v>
      </c>
      <c r="F25" s="278">
        <v>45743</v>
      </c>
      <c r="G25" s="279">
        <v>0.1423611111111111</v>
      </c>
      <c r="H25" s="280">
        <v>44.227777777777781</v>
      </c>
      <c r="I25" s="281" t="s">
        <v>819</v>
      </c>
    </row>
    <row r="26" spans="2:9" ht="38.25">
      <c r="B26" s="282">
        <v>2</v>
      </c>
      <c r="C26" s="282">
        <v>5</v>
      </c>
      <c r="D26" s="283">
        <v>45743</v>
      </c>
      <c r="E26" s="284">
        <v>0.66527777777777775</v>
      </c>
      <c r="F26" s="283">
        <v>45743</v>
      </c>
      <c r="G26" s="284">
        <v>0.81805555555555554</v>
      </c>
      <c r="H26" s="284">
        <v>0.15277777777777776</v>
      </c>
      <c r="I26" s="285" t="s">
        <v>820</v>
      </c>
    </row>
    <row r="27" spans="2:9">
      <c r="B27" s="286"/>
      <c r="C27" s="595" t="s">
        <v>821</v>
      </c>
      <c r="D27" s="596"/>
      <c r="E27" s="286"/>
      <c r="F27" s="286"/>
      <c r="G27" s="286"/>
      <c r="H27" s="287">
        <v>47.738888888888887</v>
      </c>
      <c r="I27" s="251"/>
    </row>
    <row r="28" spans="2:9">
      <c r="B28" s="252" t="s">
        <v>822</v>
      </c>
    </row>
  </sheetData>
  <mergeCells count="16">
    <mergeCell ref="H15:H17"/>
    <mergeCell ref="F10:F12"/>
    <mergeCell ref="H10:H12"/>
    <mergeCell ref="B1:H1"/>
    <mergeCell ref="B2:H2"/>
    <mergeCell ref="B3:H3"/>
    <mergeCell ref="B4:B6"/>
    <mergeCell ref="C4:C6"/>
    <mergeCell ref="C27:D27"/>
    <mergeCell ref="B18:I18"/>
    <mergeCell ref="B20:B21"/>
    <mergeCell ref="C20:C21"/>
    <mergeCell ref="D20:E20"/>
    <mergeCell ref="F20:G20"/>
    <mergeCell ref="H20:H21"/>
    <mergeCell ref="I20:I21"/>
  </mergeCells>
  <pageMargins left="0.75" right="0.25" top="0.75" bottom="0.25" header="0.5" footer="0.5"/>
  <pageSetup paperSize="9" scale="99" fitToHeight="0" orientation="landscape" r:id="rId1"/>
  <headerFooter alignWithMargins="0"/>
  <rowBreaks count="1" manualBreakCount="1">
    <brk id="17" max="16383" man="1"/>
  </rowBreaks>
</worksheet>
</file>

<file path=xl/worksheets/sheet14.xml><?xml version="1.0" encoding="utf-8"?>
<worksheet xmlns="http://schemas.openxmlformats.org/spreadsheetml/2006/main" xmlns:r="http://schemas.openxmlformats.org/officeDocument/2006/relationships">
  <sheetPr>
    <pageSetUpPr fitToPage="1"/>
  </sheetPr>
  <dimension ref="B2:J48"/>
  <sheetViews>
    <sheetView showGridLines="0" topLeftCell="A7" zoomScale="81" zoomScaleNormal="81" zoomScaleSheetLayoutView="70" workbookViewId="0">
      <selection activeCell="E24" sqref="E24"/>
    </sheetView>
  </sheetViews>
  <sheetFormatPr defaultColWidth="9.28515625" defaultRowHeight="14.25"/>
  <cols>
    <col min="1" max="1" width="3.28515625" style="5" customWidth="1"/>
    <col min="2" max="2" width="6.28515625" style="5" customWidth="1"/>
    <col min="3" max="3" width="46" style="5" customWidth="1"/>
    <col min="4" max="4" width="11" style="40" customWidth="1"/>
    <col min="5" max="5" width="12.140625" style="5" customWidth="1"/>
    <col min="6" max="6" width="13.28515625" style="5" customWidth="1"/>
    <col min="7" max="9" width="12.7109375" style="5" customWidth="1"/>
    <col min="10" max="10" width="15.7109375" style="5" customWidth="1"/>
    <col min="11" max="11" width="9.28515625" style="5"/>
    <col min="12" max="12" width="10.42578125" style="5" bestFit="1" customWidth="1"/>
    <col min="13" max="16384" width="9.28515625" style="5"/>
  </cols>
  <sheetData>
    <row r="2" spans="2:10" ht="15">
      <c r="B2" s="42"/>
      <c r="D2" s="5"/>
      <c r="E2" s="39" t="s">
        <v>678</v>
      </c>
    </row>
    <row r="3" spans="2:10" ht="15">
      <c r="B3" s="38"/>
      <c r="D3" s="5"/>
      <c r="E3" s="39" t="s">
        <v>948</v>
      </c>
    </row>
    <row r="4" spans="2:10" s="18" customFormat="1" ht="15">
      <c r="B4" s="42"/>
      <c r="C4" s="5"/>
      <c r="D4" s="5"/>
      <c r="E4" s="41" t="s">
        <v>485</v>
      </c>
      <c r="F4" s="5"/>
      <c r="G4" s="5"/>
      <c r="H4" s="5"/>
      <c r="I4" s="5"/>
      <c r="J4" s="5"/>
    </row>
    <row r="5" spans="2:10" s="18" customFormat="1" ht="15">
      <c r="C5" s="72"/>
      <c r="D5" s="40"/>
      <c r="E5" s="75"/>
    </row>
    <row r="6" spans="2:10" ht="15">
      <c r="B6" s="615" t="s">
        <v>360</v>
      </c>
      <c r="C6" s="616" t="s">
        <v>14</v>
      </c>
      <c r="D6" s="616" t="s">
        <v>37</v>
      </c>
      <c r="E6" s="288"/>
      <c r="F6" s="288"/>
      <c r="G6" s="542" t="s">
        <v>410</v>
      </c>
      <c r="H6" s="542"/>
      <c r="I6" s="542"/>
      <c r="J6" s="615" t="s">
        <v>11</v>
      </c>
    </row>
    <row r="7" spans="2:10" ht="15">
      <c r="B7" s="616"/>
      <c r="C7" s="616"/>
      <c r="D7" s="616"/>
      <c r="E7" s="20" t="s">
        <v>668</v>
      </c>
      <c r="F7" s="20" t="s">
        <v>669</v>
      </c>
      <c r="G7" s="20" t="s">
        <v>670</v>
      </c>
      <c r="H7" s="20" t="s">
        <v>671</v>
      </c>
      <c r="I7" s="20" t="s">
        <v>672</v>
      </c>
      <c r="J7" s="615"/>
    </row>
    <row r="8" spans="2:10" ht="15">
      <c r="B8" s="616"/>
      <c r="C8" s="616"/>
      <c r="D8" s="616"/>
      <c r="E8" s="20"/>
      <c r="F8" s="20" t="s">
        <v>5</v>
      </c>
      <c r="G8" s="20" t="s">
        <v>8</v>
      </c>
      <c r="H8" s="20" t="s">
        <v>8</v>
      </c>
      <c r="I8" s="20" t="s">
        <v>8</v>
      </c>
      <c r="J8" s="617"/>
    </row>
    <row r="9" spans="2:10" ht="15">
      <c r="B9" s="20"/>
      <c r="C9" s="76"/>
      <c r="D9" s="77"/>
      <c r="E9" s="20" t="s">
        <v>831</v>
      </c>
      <c r="F9" s="32"/>
      <c r="G9" s="32"/>
      <c r="H9" s="32"/>
      <c r="I9" s="32"/>
      <c r="J9" s="32"/>
    </row>
    <row r="10" spans="2:10" ht="15">
      <c r="B10" s="78">
        <v>1</v>
      </c>
      <c r="C10" s="79" t="s">
        <v>368</v>
      </c>
      <c r="D10" s="78" t="s">
        <v>38</v>
      </c>
      <c r="E10" s="20" t="s">
        <v>832</v>
      </c>
      <c r="F10" s="80"/>
      <c r="G10" s="32"/>
      <c r="H10" s="32"/>
      <c r="I10" s="32"/>
      <c r="J10" s="32"/>
    </row>
    <row r="11" spans="2:10" ht="15">
      <c r="B11" s="78"/>
      <c r="C11" s="79" t="s">
        <v>532</v>
      </c>
      <c r="D11" s="78"/>
      <c r="E11" s="80" t="s">
        <v>714</v>
      </c>
      <c r="F11" s="80"/>
      <c r="G11" s="32"/>
      <c r="H11" s="32"/>
      <c r="I11" s="32"/>
      <c r="J11" s="32"/>
    </row>
    <row r="12" spans="2:10" ht="13.5" customHeight="1">
      <c r="B12" s="78"/>
      <c r="C12" s="79" t="s">
        <v>399</v>
      </c>
      <c r="D12" s="78"/>
      <c r="E12" s="80" t="s">
        <v>833</v>
      </c>
      <c r="F12" s="80"/>
      <c r="G12" s="32"/>
      <c r="H12" s="32"/>
      <c r="I12" s="32"/>
      <c r="J12" s="32"/>
    </row>
    <row r="13" spans="2:10" ht="15">
      <c r="B13" s="78"/>
      <c r="C13" s="79"/>
      <c r="D13" s="78"/>
      <c r="E13" s="80"/>
      <c r="F13" s="80"/>
      <c r="G13" s="32"/>
      <c r="H13" s="32"/>
      <c r="I13" s="32"/>
      <c r="J13" s="32"/>
    </row>
    <row r="14" spans="2:10" ht="15">
      <c r="B14" s="20">
        <v>2</v>
      </c>
      <c r="C14" s="76" t="s">
        <v>115</v>
      </c>
      <c r="D14" s="78"/>
      <c r="E14" s="80"/>
      <c r="F14" s="80"/>
      <c r="G14" s="32"/>
      <c r="H14" s="32"/>
      <c r="I14" s="32"/>
      <c r="J14" s="32"/>
    </row>
    <row r="15" spans="2:10" ht="15">
      <c r="B15" s="78">
        <f>B14+0.1</f>
        <v>2.1</v>
      </c>
      <c r="C15" s="79" t="s">
        <v>39</v>
      </c>
      <c r="D15" s="78" t="s">
        <v>40</v>
      </c>
      <c r="E15" s="80">
        <v>85</v>
      </c>
      <c r="F15" s="80">
        <v>85</v>
      </c>
      <c r="G15" s="80">
        <v>85</v>
      </c>
      <c r="H15" s="80">
        <v>85</v>
      </c>
      <c r="I15" s="80">
        <v>85</v>
      </c>
      <c r="J15" s="32"/>
    </row>
    <row r="16" spans="2:10" ht="15">
      <c r="B16" s="78">
        <f>B15+0.1</f>
        <v>2.2000000000000002</v>
      </c>
      <c r="C16" s="79" t="s">
        <v>96</v>
      </c>
      <c r="D16" s="78" t="s">
        <v>40</v>
      </c>
      <c r="E16" s="80"/>
      <c r="F16" s="80">
        <v>85</v>
      </c>
      <c r="G16" s="25">
        <v>85</v>
      </c>
      <c r="H16" s="25">
        <v>85</v>
      </c>
      <c r="I16" s="25">
        <v>85</v>
      </c>
      <c r="J16" s="32"/>
    </row>
    <row r="17" spans="2:10" ht="15">
      <c r="B17" s="78"/>
      <c r="C17" s="79"/>
      <c r="D17" s="78"/>
      <c r="E17" s="80"/>
      <c r="F17" s="80"/>
      <c r="G17" s="25"/>
      <c r="H17" s="25"/>
      <c r="I17" s="25"/>
      <c r="J17" s="32"/>
    </row>
    <row r="18" spans="2:10" ht="15">
      <c r="B18" s="20">
        <v>3</v>
      </c>
      <c r="C18" s="76" t="s">
        <v>116</v>
      </c>
      <c r="D18" s="78"/>
      <c r="E18" s="80"/>
      <c r="F18" s="80"/>
      <c r="G18" s="25"/>
      <c r="H18" s="25"/>
      <c r="I18" s="25"/>
      <c r="J18" s="32"/>
    </row>
    <row r="19" spans="2:10" ht="15">
      <c r="B19" s="78">
        <f>B18+0.1</f>
        <v>3.1</v>
      </c>
      <c r="C19" s="79" t="s">
        <v>41</v>
      </c>
      <c r="D19" s="78" t="s">
        <v>40</v>
      </c>
      <c r="E19" s="80">
        <v>85</v>
      </c>
      <c r="F19" s="80">
        <v>85</v>
      </c>
      <c r="G19" s="80">
        <v>85</v>
      </c>
      <c r="H19" s="80">
        <v>85</v>
      </c>
      <c r="I19" s="80">
        <v>85</v>
      </c>
      <c r="J19" s="32"/>
    </row>
    <row r="20" spans="2:10" ht="15">
      <c r="B20" s="78">
        <f>B19+0.1</f>
        <v>3.2</v>
      </c>
      <c r="C20" s="79" t="s">
        <v>97</v>
      </c>
      <c r="D20" s="78" t="s">
        <v>40</v>
      </c>
      <c r="E20" s="20"/>
      <c r="F20" s="20"/>
      <c r="G20" s="32"/>
      <c r="H20" s="32"/>
      <c r="I20" s="32"/>
      <c r="J20" s="32"/>
    </row>
    <row r="21" spans="2:10" ht="15">
      <c r="B21" s="78"/>
      <c r="C21" s="79"/>
      <c r="D21" s="78"/>
      <c r="E21" s="20"/>
      <c r="F21" s="20"/>
      <c r="G21" s="32"/>
      <c r="H21" s="32"/>
      <c r="I21" s="32"/>
      <c r="J21" s="32"/>
    </row>
    <row r="22" spans="2:10" ht="15">
      <c r="B22" s="20">
        <v>4</v>
      </c>
      <c r="C22" s="76" t="s">
        <v>59</v>
      </c>
      <c r="D22" s="78"/>
      <c r="E22" s="20"/>
      <c r="F22" s="20"/>
      <c r="G22" s="32"/>
      <c r="H22" s="32"/>
      <c r="I22" s="32"/>
      <c r="J22" s="32"/>
    </row>
    <row r="23" spans="2:10" ht="15">
      <c r="B23" s="78">
        <f>B22+0.1</f>
        <v>4.0999999999999996</v>
      </c>
      <c r="C23" s="79" t="s">
        <v>42</v>
      </c>
      <c r="D23" s="78" t="s">
        <v>43</v>
      </c>
      <c r="E23" s="339">
        <f>E30</f>
        <v>230.79000000000002</v>
      </c>
      <c r="F23" s="339">
        <f t="shared" ref="F23:I23" si="0">F30</f>
        <v>4659.2523999999994</v>
      </c>
      <c r="G23" s="339">
        <f t="shared" si="0"/>
        <v>5644.0680000000002</v>
      </c>
      <c r="H23" s="339">
        <f t="shared" si="0"/>
        <v>5664.9888000000001</v>
      </c>
      <c r="I23" s="339">
        <f t="shared" si="0"/>
        <v>5644.0680000000002</v>
      </c>
      <c r="J23" s="32"/>
    </row>
    <row r="24" spans="2:10" ht="15">
      <c r="B24" s="78">
        <f>B23+0.1</f>
        <v>4.1999999999999993</v>
      </c>
      <c r="C24" s="81" t="s">
        <v>98</v>
      </c>
      <c r="D24" s="78" t="s">
        <v>43</v>
      </c>
      <c r="E24" s="20">
        <v>264.02</v>
      </c>
      <c r="F24" s="339">
        <v>4974.6499999999996</v>
      </c>
      <c r="G24" s="339">
        <v>5656.8</v>
      </c>
      <c r="H24" s="339">
        <v>5978.88</v>
      </c>
      <c r="I24" s="339">
        <v>5956.8</v>
      </c>
      <c r="J24" s="32"/>
    </row>
    <row r="25" spans="2:10" ht="15">
      <c r="B25" s="78"/>
      <c r="C25" s="81"/>
      <c r="D25" s="78"/>
      <c r="E25" s="20"/>
      <c r="F25" s="20"/>
      <c r="G25" s="32"/>
      <c r="H25" s="32"/>
      <c r="I25" s="32"/>
      <c r="J25" s="32"/>
    </row>
    <row r="26" spans="2:10" ht="15">
      <c r="B26" s="20">
        <v>5</v>
      </c>
      <c r="C26" s="82" t="s">
        <v>114</v>
      </c>
      <c r="D26" s="78"/>
      <c r="E26" s="20"/>
      <c r="F26" s="20"/>
      <c r="G26" s="32"/>
      <c r="H26" s="32"/>
      <c r="I26" s="32"/>
      <c r="J26" s="32"/>
    </row>
    <row r="27" spans="2:10" ht="15">
      <c r="B27" s="78">
        <f>B26+0.1</f>
        <v>5.0999999999999996</v>
      </c>
      <c r="C27" s="81" t="s">
        <v>44</v>
      </c>
      <c r="D27" s="78" t="s">
        <v>40</v>
      </c>
      <c r="E27" s="20">
        <v>5.25</v>
      </c>
      <c r="F27" s="20">
        <v>5.25</v>
      </c>
      <c r="G27" s="28">
        <v>6.5</v>
      </c>
      <c r="H27" s="28">
        <v>6.5</v>
      </c>
      <c r="I27" s="28">
        <v>6.5</v>
      </c>
      <c r="J27" s="32"/>
    </row>
    <row r="28" spans="2:10" ht="16.5" customHeight="1">
      <c r="B28" s="78">
        <f>B27+0.1</f>
        <v>5.1999999999999993</v>
      </c>
      <c r="C28" s="81" t="s">
        <v>99</v>
      </c>
      <c r="D28" s="78" t="s">
        <v>40</v>
      </c>
      <c r="E28" s="20">
        <v>12.587</v>
      </c>
      <c r="F28" s="339">
        <v>5.25</v>
      </c>
      <c r="G28" s="28">
        <v>6.5</v>
      </c>
      <c r="H28" s="28">
        <v>6.5</v>
      </c>
      <c r="I28" s="28">
        <v>6.5</v>
      </c>
      <c r="J28" s="32"/>
    </row>
    <row r="29" spans="2:10" ht="16.5" customHeight="1">
      <c r="B29" s="78">
        <f>B28+0.1</f>
        <v>5.2999999999999989</v>
      </c>
      <c r="C29" s="81" t="s">
        <v>99</v>
      </c>
      <c r="D29" s="78" t="s">
        <v>43</v>
      </c>
      <c r="E29" s="20">
        <v>33.229999999999997</v>
      </c>
      <c r="F29" s="339">
        <f>F24-F23</f>
        <v>315.39760000000024</v>
      </c>
      <c r="G29" s="20">
        <f t="shared" ref="G29:I29" si="1">G27*G24/100</f>
        <v>367.69200000000006</v>
      </c>
      <c r="H29" s="339">
        <f t="shared" si="1"/>
        <v>388.62720000000002</v>
      </c>
      <c r="I29" s="339">
        <f t="shared" si="1"/>
        <v>387.19200000000006</v>
      </c>
      <c r="J29" s="32"/>
    </row>
    <row r="30" spans="2:10" ht="15">
      <c r="B30" s="78">
        <f>B29+0.1</f>
        <v>5.3999999999999986</v>
      </c>
      <c r="C30" s="81" t="s">
        <v>45</v>
      </c>
      <c r="D30" s="78" t="s">
        <v>43</v>
      </c>
      <c r="E30" s="339">
        <f>'F13'!O13</f>
        <v>230.79000000000002</v>
      </c>
      <c r="F30" s="339">
        <f>'F13'!O23</f>
        <v>4659.2523999999994</v>
      </c>
      <c r="G30" s="339">
        <f>'F13'!O33</f>
        <v>5644.0680000000002</v>
      </c>
      <c r="H30" s="339">
        <f>'F13'!O43</f>
        <v>5664.9888000000001</v>
      </c>
      <c r="I30" s="339">
        <f>'F13'!O53</f>
        <v>5644.0680000000002</v>
      </c>
      <c r="J30" s="32"/>
    </row>
    <row r="31" spans="2:10" ht="15">
      <c r="B31" s="78"/>
      <c r="C31" s="81"/>
      <c r="D31" s="78"/>
      <c r="E31" s="20"/>
      <c r="F31" s="339"/>
      <c r="G31" s="175"/>
      <c r="H31" s="175"/>
      <c r="I31" s="175"/>
      <c r="J31" s="32"/>
    </row>
    <row r="32" spans="2:10" ht="15">
      <c r="B32" s="20">
        <v>6</v>
      </c>
      <c r="C32" s="82" t="s">
        <v>364</v>
      </c>
      <c r="D32" s="78"/>
      <c r="E32" s="20"/>
      <c r="F32" s="20"/>
      <c r="G32" s="32"/>
      <c r="H32" s="32"/>
      <c r="I32" s="32"/>
      <c r="J32" s="32"/>
    </row>
    <row r="33" spans="2:10" ht="15">
      <c r="B33" s="78">
        <f>B32+0.1</f>
        <v>6.1</v>
      </c>
      <c r="C33" s="81" t="s">
        <v>46</v>
      </c>
      <c r="D33" s="78" t="s">
        <v>47</v>
      </c>
      <c r="E33" s="20">
        <v>2120.37</v>
      </c>
      <c r="F33" s="20">
        <v>2120.37</v>
      </c>
      <c r="G33" s="20">
        <v>2120.37</v>
      </c>
      <c r="H33" s="20">
        <v>2120.37</v>
      </c>
      <c r="I33" s="20">
        <v>2120.37</v>
      </c>
      <c r="J33" s="32"/>
    </row>
    <row r="34" spans="2:10" ht="15">
      <c r="B34" s="78">
        <f>B33+0.1</f>
        <v>6.1999999999999993</v>
      </c>
      <c r="C34" s="79" t="s">
        <v>100</v>
      </c>
      <c r="D34" s="78" t="s">
        <v>47</v>
      </c>
      <c r="E34" s="20">
        <v>2234</v>
      </c>
      <c r="F34" s="20">
        <v>2120.37</v>
      </c>
      <c r="G34" s="20">
        <v>2120.37</v>
      </c>
      <c r="H34" s="20">
        <v>2120.37</v>
      </c>
      <c r="I34" s="20">
        <v>2120.37</v>
      </c>
      <c r="J34" s="32"/>
    </row>
    <row r="35" spans="2:10" ht="15">
      <c r="B35" s="78"/>
      <c r="C35" s="79"/>
      <c r="D35" s="78"/>
      <c r="E35" s="20"/>
      <c r="F35" s="20"/>
      <c r="G35" s="32"/>
      <c r="H35" s="32"/>
      <c r="I35" s="32"/>
      <c r="J35" s="32"/>
    </row>
    <row r="36" spans="2:10" ht="15">
      <c r="B36" s="20">
        <v>7</v>
      </c>
      <c r="C36" s="76" t="s">
        <v>117</v>
      </c>
      <c r="D36" s="78"/>
      <c r="E36" s="20"/>
      <c r="F36" s="20"/>
      <c r="G36" s="32"/>
      <c r="H36" s="32"/>
      <c r="I36" s="32"/>
      <c r="J36" s="32"/>
    </row>
    <row r="37" spans="2:10" ht="15">
      <c r="B37" s="78">
        <f>B36+0.1</f>
        <v>7.1</v>
      </c>
      <c r="C37" s="79" t="s">
        <v>48</v>
      </c>
      <c r="D37" s="78" t="s">
        <v>49</v>
      </c>
      <c r="E37" s="20">
        <v>0.5</v>
      </c>
      <c r="F37" s="20">
        <v>0.5</v>
      </c>
      <c r="G37" s="20">
        <v>0.5</v>
      </c>
      <c r="H37" s="20">
        <v>0.5</v>
      </c>
      <c r="I37" s="20">
        <v>0.5</v>
      </c>
      <c r="J37" s="32"/>
    </row>
    <row r="38" spans="2:10" ht="28.5">
      <c r="B38" s="78">
        <f>B37+0.1</f>
        <v>7.1999999999999993</v>
      </c>
      <c r="C38" s="79" t="s">
        <v>101</v>
      </c>
      <c r="D38" s="78" t="s">
        <v>49</v>
      </c>
      <c r="E38" s="20">
        <v>0.5</v>
      </c>
      <c r="F38" s="20">
        <v>0.5</v>
      </c>
      <c r="G38" s="20">
        <v>0.5</v>
      </c>
      <c r="H38" s="20">
        <v>0.5</v>
      </c>
      <c r="I38" s="20">
        <v>0.5</v>
      </c>
      <c r="J38" s="32"/>
    </row>
    <row r="39" spans="2:10" ht="15">
      <c r="B39" s="78"/>
      <c r="C39" s="79"/>
      <c r="D39" s="78"/>
      <c r="E39" s="20"/>
      <c r="F39" s="20"/>
      <c r="G39" s="32"/>
      <c r="H39" s="32"/>
      <c r="I39" s="32"/>
      <c r="J39" s="32"/>
    </row>
    <row r="40" spans="2:10" ht="15">
      <c r="B40" s="20">
        <v>8</v>
      </c>
      <c r="C40" s="76" t="s">
        <v>57</v>
      </c>
      <c r="D40" s="78"/>
      <c r="E40" s="20"/>
      <c r="F40" s="20"/>
      <c r="G40" s="32"/>
      <c r="H40" s="32"/>
      <c r="I40" s="32"/>
      <c r="J40" s="32"/>
    </row>
    <row r="41" spans="2:10" ht="15">
      <c r="B41" s="78">
        <f>B40+0.1</f>
        <v>8.1</v>
      </c>
      <c r="C41" s="79" t="s">
        <v>50</v>
      </c>
      <c r="D41" s="78" t="s">
        <v>40</v>
      </c>
      <c r="E41" s="20">
        <v>0.8</v>
      </c>
      <c r="F41" s="20">
        <v>0.8</v>
      </c>
      <c r="G41" s="20">
        <v>0.8</v>
      </c>
      <c r="H41" s="20">
        <v>0.8</v>
      </c>
      <c r="I41" s="20">
        <v>0.8</v>
      </c>
      <c r="J41" s="32"/>
    </row>
    <row r="42" spans="2:10" ht="15">
      <c r="B42" s="78">
        <f>B41+0.1</f>
        <v>8.1999999999999993</v>
      </c>
      <c r="C42" s="79" t="s">
        <v>102</v>
      </c>
      <c r="D42" s="78" t="s">
        <v>40</v>
      </c>
      <c r="E42" s="20">
        <v>0.8</v>
      </c>
      <c r="F42" s="20">
        <v>0.8</v>
      </c>
      <c r="G42" s="20">
        <v>0.8</v>
      </c>
      <c r="H42" s="20">
        <v>0.8</v>
      </c>
      <c r="I42" s="20">
        <v>0.8</v>
      </c>
      <c r="J42" s="32"/>
    </row>
    <row r="43" spans="2:10" ht="15">
      <c r="B43" s="20"/>
      <c r="C43" s="76"/>
      <c r="D43" s="77"/>
      <c r="E43" s="20"/>
      <c r="F43" s="20"/>
      <c r="G43" s="32"/>
      <c r="H43" s="32"/>
      <c r="I43" s="32"/>
      <c r="J43" s="32"/>
    </row>
    <row r="44" spans="2:10" ht="15">
      <c r="B44" s="44"/>
      <c r="C44" s="83"/>
      <c r="D44" s="84"/>
      <c r="E44" s="44"/>
      <c r="F44" s="44"/>
    </row>
    <row r="45" spans="2:10" ht="16.5">
      <c r="D45" s="85"/>
      <c r="E45" s="86"/>
      <c r="F45" s="86"/>
    </row>
    <row r="46" spans="2:10" ht="16.5">
      <c r="B46" s="18"/>
      <c r="E46" s="86"/>
      <c r="F46" s="86"/>
    </row>
    <row r="47" spans="2:10" ht="16.5">
      <c r="C47" s="47"/>
      <c r="E47" s="86"/>
      <c r="F47" s="86"/>
    </row>
    <row r="48" spans="2:10">
      <c r="E48" s="87"/>
      <c r="F48" s="87"/>
    </row>
  </sheetData>
  <mergeCells count="5">
    <mergeCell ref="B6:B8"/>
    <mergeCell ref="C6:C8"/>
    <mergeCell ref="D6:D8"/>
    <mergeCell ref="G6:I6"/>
    <mergeCell ref="J6:J8"/>
  </mergeCells>
  <pageMargins left="1.1599999999999999" right="0.25" top="0.43" bottom="0.63" header="0.5" footer="0.5"/>
  <pageSetup paperSize="9" scale="83" orientation="landscape"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B2:S53"/>
  <sheetViews>
    <sheetView workbookViewId="0">
      <selection activeCell="L24" sqref="L24"/>
    </sheetView>
  </sheetViews>
  <sheetFormatPr defaultColWidth="9.28515625" defaultRowHeight="14.25"/>
  <cols>
    <col min="1" max="1" width="2.28515625" style="88" customWidth="1"/>
    <col min="2" max="2" width="7.140625" style="88" customWidth="1"/>
    <col min="3" max="3" width="70.140625" style="109" customWidth="1"/>
    <col min="4" max="4" width="8.42578125" style="89" customWidth="1"/>
    <col min="5" max="13" width="6.28515625" style="88" hidden="1" customWidth="1"/>
    <col min="14" max="14" width="11.7109375" style="88" customWidth="1"/>
    <col min="15" max="15" width="11.28515625" style="88" customWidth="1"/>
    <col min="16" max="16" width="10" style="88" customWidth="1"/>
    <col min="17" max="17" width="12.5703125" style="88" customWidth="1"/>
    <col min="18" max="18" width="10.7109375" style="88" customWidth="1"/>
    <col min="19" max="16384" width="9.28515625" style="88"/>
  </cols>
  <sheetData>
    <row r="2" spans="2:19" ht="14.25" customHeight="1">
      <c r="B2" s="553" t="s">
        <v>678</v>
      </c>
      <c r="C2" s="553"/>
      <c r="D2" s="553"/>
      <c r="E2" s="553"/>
      <c r="F2" s="553"/>
      <c r="G2" s="553"/>
      <c r="H2" s="553"/>
      <c r="I2" s="553"/>
      <c r="J2" s="553"/>
      <c r="K2" s="553"/>
      <c r="L2" s="553"/>
      <c r="M2" s="553"/>
      <c r="N2" s="553"/>
      <c r="O2" s="553"/>
      <c r="P2" s="553"/>
      <c r="Q2" s="553"/>
      <c r="R2" s="553"/>
    </row>
    <row r="3" spans="2:19" ht="14.25" customHeight="1">
      <c r="B3" s="553" t="s">
        <v>948</v>
      </c>
      <c r="C3" s="553"/>
      <c r="D3" s="553"/>
      <c r="E3" s="553"/>
      <c r="F3" s="553"/>
      <c r="G3" s="553"/>
      <c r="H3" s="553"/>
      <c r="I3" s="553"/>
      <c r="J3" s="553"/>
      <c r="K3" s="553"/>
      <c r="L3" s="553"/>
      <c r="M3" s="553"/>
      <c r="N3" s="553"/>
      <c r="O3" s="553"/>
      <c r="P3" s="553"/>
      <c r="Q3" s="553"/>
      <c r="R3" s="553"/>
    </row>
    <row r="4" spans="2:19" ht="14.25" customHeight="1">
      <c r="B4" s="554" t="s">
        <v>942</v>
      </c>
      <c r="C4" s="554"/>
      <c r="D4" s="554"/>
      <c r="E4" s="554"/>
      <c r="F4" s="554"/>
      <c r="G4" s="554"/>
      <c r="H4" s="554"/>
      <c r="I4" s="554"/>
      <c r="J4" s="554"/>
      <c r="K4" s="554"/>
      <c r="L4" s="554"/>
      <c r="M4" s="554"/>
      <c r="N4" s="554"/>
      <c r="O4" s="554"/>
      <c r="P4" s="554"/>
      <c r="Q4" s="554"/>
      <c r="R4" s="554"/>
    </row>
    <row r="6" spans="2:19" ht="15">
      <c r="B6" s="619" t="s">
        <v>360</v>
      </c>
      <c r="C6" s="620" t="s">
        <v>14</v>
      </c>
      <c r="D6" s="619" t="s">
        <v>37</v>
      </c>
      <c r="E6" s="619" t="s">
        <v>668</v>
      </c>
      <c r="F6" s="619"/>
      <c r="G6" s="619"/>
      <c r="H6" s="619"/>
      <c r="I6" s="619"/>
      <c r="J6" s="619"/>
      <c r="K6" s="619"/>
      <c r="L6" s="619"/>
      <c r="M6" s="619"/>
      <c r="N6" s="619"/>
      <c r="O6" s="619"/>
      <c r="P6" s="619"/>
      <c r="Q6" s="619" t="s">
        <v>669</v>
      </c>
      <c r="R6" s="619"/>
      <c r="S6" s="619"/>
    </row>
    <row r="7" spans="2:19" ht="15">
      <c r="B7" s="619"/>
      <c r="C7" s="620"/>
      <c r="D7" s="619"/>
      <c r="E7" s="91" t="s">
        <v>80</v>
      </c>
      <c r="F7" s="91" t="s">
        <v>81</v>
      </c>
      <c r="G7" s="91" t="s">
        <v>82</v>
      </c>
      <c r="H7" s="91" t="s">
        <v>83</v>
      </c>
      <c r="I7" s="91" t="s">
        <v>84</v>
      </c>
      <c r="J7" s="91" t="s">
        <v>85</v>
      </c>
      <c r="K7" s="91" t="s">
        <v>86</v>
      </c>
      <c r="L7" s="91" t="s">
        <v>87</v>
      </c>
      <c r="M7" s="91" t="s">
        <v>88</v>
      </c>
      <c r="N7" s="91" t="s">
        <v>89</v>
      </c>
      <c r="O7" s="91" t="s">
        <v>90</v>
      </c>
      <c r="P7" s="91" t="s">
        <v>91</v>
      </c>
      <c r="Q7" s="91" t="s">
        <v>80</v>
      </c>
      <c r="R7" s="91" t="s">
        <v>81</v>
      </c>
      <c r="S7" s="91" t="s">
        <v>868</v>
      </c>
    </row>
    <row r="8" spans="2:19" ht="15">
      <c r="B8" s="91" t="s">
        <v>67</v>
      </c>
      <c r="C8" s="377" t="s">
        <v>489</v>
      </c>
      <c r="E8" s="325"/>
      <c r="F8" s="325"/>
      <c r="G8" s="325"/>
      <c r="H8" s="325"/>
      <c r="I8" s="325"/>
      <c r="J8" s="325"/>
      <c r="K8" s="325"/>
      <c r="L8" s="325"/>
      <c r="M8" s="325"/>
      <c r="N8" s="33"/>
      <c r="O8" s="33"/>
      <c r="P8" s="33"/>
      <c r="Q8" s="33"/>
      <c r="R8" s="33"/>
      <c r="S8" s="33"/>
    </row>
    <row r="9" spans="2:19">
      <c r="B9" s="92">
        <v>1</v>
      </c>
      <c r="C9" s="94" t="s">
        <v>490</v>
      </c>
      <c r="D9" s="92" t="s">
        <v>492</v>
      </c>
      <c r="E9" s="325"/>
      <c r="F9" s="325"/>
      <c r="G9" s="325"/>
      <c r="H9" s="325"/>
      <c r="I9" s="325"/>
      <c r="J9" s="325"/>
      <c r="K9" s="325"/>
      <c r="L9" s="325"/>
      <c r="M9" s="325"/>
      <c r="N9" s="33">
        <v>179983.22</v>
      </c>
      <c r="O9" s="33">
        <v>155972</v>
      </c>
      <c r="P9" s="33">
        <v>209828</v>
      </c>
      <c r="Q9" s="33">
        <v>205008</v>
      </c>
      <c r="R9" s="33">
        <v>155942</v>
      </c>
      <c r="S9" s="33">
        <v>248804.82000000021</v>
      </c>
    </row>
    <row r="10" spans="2:19">
      <c r="B10" s="92">
        <f>B9+1</f>
        <v>2</v>
      </c>
      <c r="C10" s="94" t="s">
        <v>491</v>
      </c>
      <c r="D10" s="92" t="s">
        <v>493</v>
      </c>
      <c r="E10" s="325"/>
      <c r="F10" s="325"/>
      <c r="G10" s="325"/>
      <c r="H10" s="325"/>
      <c r="I10" s="325"/>
      <c r="J10" s="325"/>
      <c r="K10" s="325"/>
      <c r="L10" s="325"/>
      <c r="M10" s="325"/>
      <c r="N10" s="33">
        <v>111.7</v>
      </c>
      <c r="O10" s="33">
        <v>100.98</v>
      </c>
      <c r="P10" s="33">
        <v>142.99</v>
      </c>
      <c r="Q10" s="33">
        <v>138.52000000000001</v>
      </c>
      <c r="R10" s="33">
        <v>90.88</v>
      </c>
      <c r="S10" s="33">
        <v>146.4154570568555</v>
      </c>
    </row>
    <row r="11" spans="2:19" ht="15">
      <c r="B11" s="91" t="s">
        <v>72</v>
      </c>
      <c r="C11" s="377" t="s">
        <v>494</v>
      </c>
      <c r="D11" s="92"/>
      <c r="E11" s="325"/>
      <c r="F11" s="325"/>
      <c r="G11" s="325"/>
      <c r="H11" s="325"/>
      <c r="I11" s="325"/>
      <c r="J11" s="325"/>
      <c r="K11" s="325"/>
      <c r="L11" s="325"/>
      <c r="M11" s="325"/>
      <c r="N11" s="33"/>
      <c r="O11" s="33"/>
      <c r="P11" s="33"/>
      <c r="Q11" s="33"/>
      <c r="R11" s="33"/>
      <c r="S11" s="33"/>
    </row>
    <row r="12" spans="2:19">
      <c r="B12" s="92">
        <f>B10+1</f>
        <v>3</v>
      </c>
      <c r="C12" s="94" t="s">
        <v>495</v>
      </c>
      <c r="D12" s="92" t="s">
        <v>492</v>
      </c>
      <c r="E12" s="325"/>
      <c r="F12" s="325"/>
      <c r="G12" s="325"/>
      <c r="H12" s="325"/>
      <c r="I12" s="325"/>
      <c r="J12" s="325"/>
      <c r="K12" s="325"/>
      <c r="L12" s="325"/>
      <c r="M12" s="325"/>
      <c r="N12" s="33">
        <v>33656</v>
      </c>
      <c r="O12" s="33">
        <v>152754</v>
      </c>
      <c r="P12" s="33">
        <v>149286</v>
      </c>
      <c r="Q12" s="33">
        <v>320995</v>
      </c>
      <c r="R12" s="33">
        <v>373771</v>
      </c>
      <c r="S12" s="33">
        <v>360165.07999999996</v>
      </c>
    </row>
    <row r="13" spans="2:19">
      <c r="B13" s="92">
        <f>B12+1</f>
        <v>4</v>
      </c>
      <c r="C13" s="94" t="s">
        <v>665</v>
      </c>
      <c r="D13" s="92" t="s">
        <v>492</v>
      </c>
      <c r="E13" s="325"/>
      <c r="F13" s="325"/>
      <c r="G13" s="325"/>
      <c r="H13" s="325"/>
      <c r="I13" s="325"/>
      <c r="J13" s="325"/>
      <c r="K13" s="325"/>
      <c r="L13" s="325"/>
      <c r="M13" s="325"/>
      <c r="N13" s="33"/>
      <c r="O13" s="33"/>
      <c r="P13" s="33"/>
      <c r="Q13" s="33"/>
      <c r="R13" s="33"/>
      <c r="S13" s="33"/>
    </row>
    <row r="14" spans="2:19" ht="15">
      <c r="B14" s="92">
        <f>B13+1</f>
        <v>5</v>
      </c>
      <c r="C14" s="94" t="s">
        <v>496</v>
      </c>
      <c r="D14" s="92" t="s">
        <v>492</v>
      </c>
      <c r="E14" s="326">
        <f>E12+E13</f>
        <v>0</v>
      </c>
      <c r="F14" s="326">
        <f t="shared" ref="F14:S14" si="0">F12+F13</f>
        <v>0</v>
      </c>
      <c r="G14" s="326">
        <f t="shared" si="0"/>
        <v>0</v>
      </c>
      <c r="H14" s="326">
        <f t="shared" si="0"/>
        <v>0</v>
      </c>
      <c r="I14" s="326">
        <f t="shared" si="0"/>
        <v>0</v>
      </c>
      <c r="J14" s="326">
        <f t="shared" si="0"/>
        <v>0</v>
      </c>
      <c r="K14" s="326">
        <f t="shared" si="0"/>
        <v>0</v>
      </c>
      <c r="L14" s="326">
        <f t="shared" si="0"/>
        <v>0</v>
      </c>
      <c r="M14" s="326">
        <f t="shared" si="0"/>
        <v>0</v>
      </c>
      <c r="N14" s="158">
        <f t="shared" si="0"/>
        <v>33656</v>
      </c>
      <c r="O14" s="158">
        <f t="shared" si="0"/>
        <v>152754</v>
      </c>
      <c r="P14" s="158">
        <f t="shared" si="0"/>
        <v>149286</v>
      </c>
      <c r="Q14" s="158">
        <f t="shared" si="0"/>
        <v>320995</v>
      </c>
      <c r="R14" s="158">
        <f t="shared" si="0"/>
        <v>373771</v>
      </c>
      <c r="S14" s="158">
        <f t="shared" si="0"/>
        <v>360165.07999999996</v>
      </c>
    </row>
    <row r="15" spans="2:19">
      <c r="B15" s="92">
        <f>B14+1</f>
        <v>6</v>
      </c>
      <c r="C15" s="94" t="s">
        <v>497</v>
      </c>
      <c r="D15" s="92" t="s">
        <v>492</v>
      </c>
      <c r="E15" s="325"/>
      <c r="F15" s="325"/>
      <c r="G15" s="325"/>
      <c r="H15" s="325"/>
      <c r="I15" s="325"/>
      <c r="J15" s="325"/>
      <c r="K15" s="325"/>
      <c r="L15" s="325"/>
      <c r="M15" s="325"/>
      <c r="N15" s="33">
        <v>269</v>
      </c>
      <c r="O15" s="33">
        <v>1222</v>
      </c>
      <c r="P15" s="33">
        <v>1194</v>
      </c>
      <c r="Q15" s="33">
        <v>2568</v>
      </c>
      <c r="R15" s="33">
        <v>2990</v>
      </c>
      <c r="S15" s="33">
        <v>2881.3206399999908</v>
      </c>
    </row>
    <row r="16" spans="2:19" ht="15">
      <c r="B16" s="92">
        <f>B15+1</f>
        <v>7</v>
      </c>
      <c r="C16" s="94" t="s">
        <v>498</v>
      </c>
      <c r="D16" s="92" t="s">
        <v>492</v>
      </c>
      <c r="E16" s="326">
        <f>E14-E15</f>
        <v>0</v>
      </c>
      <c r="F16" s="326">
        <f t="shared" ref="F16:S16" si="1">F14-F15</f>
        <v>0</v>
      </c>
      <c r="G16" s="326">
        <f t="shared" si="1"/>
        <v>0</v>
      </c>
      <c r="H16" s="326">
        <f t="shared" si="1"/>
        <v>0</v>
      </c>
      <c r="I16" s="326">
        <f t="shared" si="1"/>
        <v>0</v>
      </c>
      <c r="J16" s="326">
        <f t="shared" si="1"/>
        <v>0</v>
      </c>
      <c r="K16" s="326">
        <f t="shared" si="1"/>
        <v>0</v>
      </c>
      <c r="L16" s="326">
        <f t="shared" si="1"/>
        <v>0</v>
      </c>
      <c r="M16" s="326">
        <f t="shared" si="1"/>
        <v>0</v>
      </c>
      <c r="N16" s="158">
        <f t="shared" si="1"/>
        <v>33387</v>
      </c>
      <c r="O16" s="158">
        <f t="shared" si="1"/>
        <v>151532</v>
      </c>
      <c r="P16" s="158">
        <f t="shared" si="1"/>
        <v>148092</v>
      </c>
      <c r="Q16" s="158">
        <f t="shared" si="1"/>
        <v>318427</v>
      </c>
      <c r="R16" s="158">
        <f t="shared" si="1"/>
        <v>370781</v>
      </c>
      <c r="S16" s="158">
        <f t="shared" si="1"/>
        <v>357283.75935999997</v>
      </c>
    </row>
    <row r="17" spans="2:19" ht="15">
      <c r="B17" s="91" t="s">
        <v>73</v>
      </c>
      <c r="C17" s="377" t="s">
        <v>499</v>
      </c>
      <c r="D17" s="92"/>
      <c r="E17" s="325"/>
      <c r="F17" s="325"/>
      <c r="G17" s="325"/>
      <c r="H17" s="325"/>
      <c r="I17" s="325"/>
      <c r="J17" s="325"/>
      <c r="K17" s="325"/>
      <c r="L17" s="325"/>
      <c r="M17" s="325"/>
      <c r="N17" s="33"/>
      <c r="O17" s="33"/>
      <c r="P17" s="33"/>
      <c r="Q17" s="33"/>
      <c r="R17" s="33"/>
      <c r="S17" s="33"/>
    </row>
    <row r="18" spans="2:19">
      <c r="B18" s="92">
        <f>B16+1</f>
        <v>8</v>
      </c>
      <c r="C18" s="94" t="s">
        <v>500</v>
      </c>
      <c r="D18" s="92" t="s">
        <v>493</v>
      </c>
      <c r="E18" s="325"/>
      <c r="F18" s="325"/>
      <c r="G18" s="325"/>
      <c r="H18" s="325"/>
      <c r="I18" s="325"/>
      <c r="J18" s="325"/>
      <c r="K18" s="325"/>
      <c r="L18" s="325"/>
      <c r="M18" s="325"/>
      <c r="N18" s="33">
        <v>24.29</v>
      </c>
      <c r="O18" s="33">
        <v>92.78</v>
      </c>
      <c r="P18" s="33">
        <v>87.46</v>
      </c>
      <c r="Q18" s="33">
        <v>146.26</v>
      </c>
      <c r="R18" s="33">
        <v>194.59</v>
      </c>
      <c r="S18" s="33">
        <v>200.66175711400001</v>
      </c>
    </row>
    <row r="19" spans="2:19">
      <c r="B19" s="92">
        <f>B18+1</f>
        <v>9</v>
      </c>
      <c r="C19" s="94" t="s">
        <v>501</v>
      </c>
      <c r="D19" s="92" t="s">
        <v>493</v>
      </c>
      <c r="E19" s="325"/>
      <c r="F19" s="325"/>
      <c r="G19" s="325"/>
      <c r="H19" s="325"/>
      <c r="I19" s="325"/>
      <c r="J19" s="325"/>
      <c r="K19" s="325"/>
      <c r="L19" s="325"/>
      <c r="M19" s="325"/>
      <c r="N19" s="33">
        <v>-0.56999999999999995</v>
      </c>
      <c r="O19" s="33">
        <v>2.86</v>
      </c>
      <c r="P19" s="33">
        <v>-0.37</v>
      </c>
      <c r="Q19" s="33">
        <v>-3.75</v>
      </c>
      <c r="R19" s="33">
        <v>-4.28</v>
      </c>
      <c r="S19" s="33">
        <v>-4.8064416815382005</v>
      </c>
    </row>
    <row r="20" spans="2:19">
      <c r="B20" s="92">
        <f>B19+1</f>
        <v>10</v>
      </c>
      <c r="C20" s="94" t="s">
        <v>502</v>
      </c>
      <c r="D20" s="92" t="s">
        <v>493</v>
      </c>
      <c r="E20" s="325"/>
      <c r="F20" s="325"/>
      <c r="G20" s="325"/>
      <c r="H20" s="325"/>
      <c r="I20" s="325"/>
      <c r="J20" s="325"/>
      <c r="K20" s="325"/>
      <c r="L20" s="325"/>
      <c r="M20" s="325"/>
      <c r="N20" s="33">
        <v>0.04</v>
      </c>
      <c r="O20" s="33">
        <v>0.28000000000000003</v>
      </c>
      <c r="P20" s="33">
        <v>0.15</v>
      </c>
      <c r="Q20" s="33">
        <v>0.5</v>
      </c>
      <c r="R20" s="33">
        <v>1.45</v>
      </c>
      <c r="S20" s="33">
        <v>1.0941118670000001</v>
      </c>
    </row>
    <row r="21" spans="2:19" ht="15">
      <c r="B21" s="92">
        <f>B20+1</f>
        <v>11</v>
      </c>
      <c r="C21" s="94" t="s">
        <v>503</v>
      </c>
      <c r="D21" s="92" t="s">
        <v>493</v>
      </c>
      <c r="E21" s="326">
        <f>E18+E19+E20</f>
        <v>0</v>
      </c>
      <c r="F21" s="326">
        <f t="shared" ref="F21:S21" si="2">F18+F19+F20</f>
        <v>0</v>
      </c>
      <c r="G21" s="326">
        <f t="shared" si="2"/>
        <v>0</v>
      </c>
      <c r="H21" s="326">
        <f t="shared" si="2"/>
        <v>0</v>
      </c>
      <c r="I21" s="326">
        <f t="shared" si="2"/>
        <v>0</v>
      </c>
      <c r="J21" s="326">
        <f t="shared" si="2"/>
        <v>0</v>
      </c>
      <c r="K21" s="326">
        <f t="shared" si="2"/>
        <v>0</v>
      </c>
      <c r="L21" s="326">
        <f t="shared" si="2"/>
        <v>0</v>
      </c>
      <c r="M21" s="326">
        <f t="shared" si="2"/>
        <v>0</v>
      </c>
      <c r="N21" s="158">
        <f t="shared" si="2"/>
        <v>23.759999999999998</v>
      </c>
      <c r="O21" s="158">
        <f t="shared" si="2"/>
        <v>95.92</v>
      </c>
      <c r="P21" s="158">
        <f t="shared" si="2"/>
        <v>87.24</v>
      </c>
      <c r="Q21" s="158">
        <v>143.01</v>
      </c>
      <c r="R21" s="158">
        <f t="shared" si="2"/>
        <v>191.76</v>
      </c>
      <c r="S21" s="158">
        <f t="shared" si="2"/>
        <v>196.94942729946183</v>
      </c>
    </row>
    <row r="22" spans="2:19" ht="15">
      <c r="B22" s="91" t="s">
        <v>504</v>
      </c>
      <c r="C22" s="377" t="s">
        <v>505</v>
      </c>
      <c r="D22" s="92"/>
      <c r="E22" s="325"/>
      <c r="F22" s="325"/>
      <c r="G22" s="325"/>
      <c r="H22" s="325"/>
      <c r="I22" s="325"/>
      <c r="J22" s="325"/>
      <c r="K22" s="325"/>
      <c r="L22" s="325"/>
      <c r="M22" s="325"/>
      <c r="N22" s="33"/>
      <c r="O22" s="33"/>
      <c r="P22" s="33"/>
      <c r="Q22" s="33"/>
      <c r="R22" s="33"/>
      <c r="S22" s="33"/>
    </row>
    <row r="23" spans="2:19">
      <c r="B23" s="92">
        <f>B21+1</f>
        <v>12</v>
      </c>
      <c r="C23" s="94" t="s">
        <v>506</v>
      </c>
      <c r="D23" s="92"/>
      <c r="E23" s="325"/>
      <c r="F23" s="325"/>
      <c r="G23" s="325"/>
      <c r="H23" s="325"/>
      <c r="I23" s="325"/>
      <c r="J23" s="325"/>
      <c r="K23" s="325"/>
      <c r="L23" s="325"/>
      <c r="M23" s="325"/>
      <c r="N23" s="33"/>
      <c r="O23" s="33"/>
      <c r="P23" s="33"/>
      <c r="Q23" s="33"/>
      <c r="R23" s="33"/>
      <c r="S23" s="33"/>
    </row>
    <row r="24" spans="2:19">
      <c r="B24" s="92"/>
      <c r="C24" s="94" t="s">
        <v>507</v>
      </c>
      <c r="D24" s="92" t="s">
        <v>493</v>
      </c>
      <c r="E24" s="325"/>
      <c r="F24" s="325"/>
      <c r="G24" s="325"/>
      <c r="H24" s="325"/>
      <c r="I24" s="325"/>
      <c r="J24" s="325"/>
      <c r="K24" s="325"/>
      <c r="L24" s="325"/>
      <c r="M24" s="325"/>
      <c r="N24" s="33">
        <v>2.68</v>
      </c>
      <c r="O24" s="33">
        <v>12.66</v>
      </c>
      <c r="P24" s="33">
        <v>11.6</v>
      </c>
      <c r="Q24" s="33">
        <v>23.52</v>
      </c>
      <c r="R24" s="33">
        <v>27.32</v>
      </c>
      <c r="S24" s="33">
        <v>26.632483162050004</v>
      </c>
    </row>
    <row r="25" spans="2:19">
      <c r="B25" s="92"/>
      <c r="C25" s="94" t="s">
        <v>508</v>
      </c>
      <c r="D25" s="92" t="s">
        <v>493</v>
      </c>
      <c r="E25" s="325"/>
      <c r="F25" s="325"/>
      <c r="G25" s="325"/>
      <c r="H25" s="325"/>
      <c r="I25" s="325"/>
      <c r="J25" s="325"/>
      <c r="K25" s="325"/>
      <c r="L25" s="325"/>
      <c r="M25" s="325"/>
      <c r="N25" s="33"/>
      <c r="O25" s="33"/>
      <c r="P25" s="33"/>
      <c r="Q25" s="33"/>
      <c r="R25" s="33"/>
      <c r="S25" s="33"/>
    </row>
    <row r="26" spans="2:19">
      <c r="B26" s="92"/>
      <c r="C26" s="94" t="s">
        <v>509</v>
      </c>
      <c r="D26" s="92" t="s">
        <v>493</v>
      </c>
      <c r="E26" s="325"/>
      <c r="F26" s="325"/>
      <c r="G26" s="325"/>
      <c r="H26" s="325"/>
      <c r="I26" s="325"/>
      <c r="J26" s="325"/>
      <c r="K26" s="325"/>
      <c r="L26" s="325"/>
      <c r="M26" s="325"/>
      <c r="N26" s="33"/>
      <c r="O26" s="33"/>
      <c r="P26" s="33"/>
      <c r="Q26" s="33"/>
      <c r="R26" s="33"/>
      <c r="S26" s="33"/>
    </row>
    <row r="27" spans="2:19">
      <c r="B27" s="92"/>
      <c r="C27" s="94" t="s">
        <v>9</v>
      </c>
      <c r="D27" s="92" t="s">
        <v>493</v>
      </c>
      <c r="E27" s="325"/>
      <c r="F27" s="325"/>
      <c r="G27" s="325"/>
      <c r="H27" s="325"/>
      <c r="I27" s="325"/>
      <c r="J27" s="325"/>
      <c r="K27" s="325"/>
      <c r="L27" s="325"/>
      <c r="M27" s="325"/>
      <c r="N27" s="33"/>
      <c r="O27" s="33"/>
      <c r="P27" s="33"/>
      <c r="Q27" s="33"/>
      <c r="R27" s="33"/>
      <c r="S27" s="33"/>
    </row>
    <row r="28" spans="2:19">
      <c r="B28" s="92">
        <f>B23+1</f>
        <v>13</v>
      </c>
      <c r="C28" s="94" t="s">
        <v>510</v>
      </c>
      <c r="D28" s="92" t="s">
        <v>493</v>
      </c>
      <c r="E28" s="325"/>
      <c r="F28" s="325"/>
      <c r="G28" s="325"/>
      <c r="H28" s="325"/>
      <c r="I28" s="325"/>
      <c r="J28" s="325"/>
      <c r="K28" s="325"/>
      <c r="L28" s="325"/>
      <c r="M28" s="325"/>
      <c r="N28" s="33"/>
      <c r="O28" s="33"/>
      <c r="P28" s="33"/>
      <c r="Q28" s="33"/>
      <c r="R28" s="33"/>
      <c r="S28" s="33"/>
    </row>
    <row r="29" spans="2:19">
      <c r="B29" s="92">
        <f>B28+1</f>
        <v>14</v>
      </c>
      <c r="C29" s="94" t="s">
        <v>511</v>
      </c>
      <c r="D29" s="92" t="s">
        <v>493</v>
      </c>
      <c r="E29" s="325"/>
      <c r="F29" s="325"/>
      <c r="G29" s="325"/>
      <c r="H29" s="325"/>
      <c r="I29" s="325"/>
      <c r="J29" s="325"/>
      <c r="K29" s="325"/>
      <c r="L29" s="325"/>
      <c r="M29" s="325"/>
      <c r="N29" s="33"/>
      <c r="O29" s="33"/>
      <c r="P29" s="33"/>
      <c r="Q29" s="33"/>
      <c r="R29" s="33"/>
      <c r="S29" s="33"/>
    </row>
    <row r="30" spans="2:19">
      <c r="B30" s="92">
        <f>B29+1</f>
        <v>15</v>
      </c>
      <c r="C30" s="94" t="s">
        <v>663</v>
      </c>
      <c r="D30" s="92" t="s">
        <v>493</v>
      </c>
      <c r="E30" s="325"/>
      <c r="F30" s="325"/>
      <c r="G30" s="325"/>
      <c r="H30" s="325"/>
      <c r="I30" s="325"/>
      <c r="J30" s="325"/>
      <c r="K30" s="325"/>
      <c r="L30" s="325"/>
      <c r="M30" s="325"/>
      <c r="N30" s="33"/>
      <c r="O30" s="33"/>
      <c r="P30" s="33"/>
      <c r="Q30" s="33"/>
      <c r="R30" s="33"/>
      <c r="S30" s="33"/>
    </row>
    <row r="31" spans="2:19" ht="15">
      <c r="B31" s="92">
        <f>B30+1</f>
        <v>16</v>
      </c>
      <c r="C31" s="94" t="s">
        <v>512</v>
      </c>
      <c r="D31" s="92" t="s">
        <v>493</v>
      </c>
      <c r="E31" s="326">
        <f>SUM(E24:E30)</f>
        <v>0</v>
      </c>
      <c r="F31" s="326">
        <f t="shared" ref="F31:S31" si="3">SUM(F24:F30)</f>
        <v>0</v>
      </c>
      <c r="G31" s="326">
        <f t="shared" si="3"/>
        <v>0</v>
      </c>
      <c r="H31" s="326">
        <f t="shared" si="3"/>
        <v>0</v>
      </c>
      <c r="I31" s="326">
        <f t="shared" si="3"/>
        <v>0</v>
      </c>
      <c r="J31" s="326">
        <f t="shared" si="3"/>
        <v>0</v>
      </c>
      <c r="K31" s="326">
        <f t="shared" si="3"/>
        <v>0</v>
      </c>
      <c r="L31" s="326">
        <f t="shared" si="3"/>
        <v>0</v>
      </c>
      <c r="M31" s="326">
        <f t="shared" si="3"/>
        <v>0</v>
      </c>
      <c r="N31" s="158">
        <f t="shared" si="3"/>
        <v>2.68</v>
      </c>
      <c r="O31" s="158">
        <f t="shared" si="3"/>
        <v>12.66</v>
      </c>
      <c r="P31" s="158">
        <f t="shared" si="3"/>
        <v>11.6</v>
      </c>
      <c r="Q31" s="158">
        <f t="shared" si="3"/>
        <v>23.52</v>
      </c>
      <c r="R31" s="158">
        <f t="shared" si="3"/>
        <v>27.32</v>
      </c>
      <c r="S31" s="158">
        <f t="shared" si="3"/>
        <v>26.632483162050004</v>
      </c>
    </row>
    <row r="32" spans="2:19" ht="15">
      <c r="B32" s="92">
        <f>B31+1</f>
        <v>17</v>
      </c>
      <c r="C32" s="94" t="s">
        <v>513</v>
      </c>
      <c r="D32" s="92" t="s">
        <v>493</v>
      </c>
      <c r="E32" s="326">
        <f>E21+E31</f>
        <v>0</v>
      </c>
      <c r="F32" s="326">
        <f t="shared" ref="F32:S32" si="4">F21+F31</f>
        <v>0</v>
      </c>
      <c r="G32" s="326">
        <f t="shared" si="4"/>
        <v>0</v>
      </c>
      <c r="H32" s="326">
        <f t="shared" si="4"/>
        <v>0</v>
      </c>
      <c r="I32" s="326">
        <f t="shared" si="4"/>
        <v>0</v>
      </c>
      <c r="J32" s="326">
        <f t="shared" si="4"/>
        <v>0</v>
      </c>
      <c r="K32" s="326">
        <f t="shared" si="4"/>
        <v>0</v>
      </c>
      <c r="L32" s="326">
        <f t="shared" si="4"/>
        <v>0</v>
      </c>
      <c r="M32" s="326">
        <f t="shared" si="4"/>
        <v>0</v>
      </c>
      <c r="N32" s="158">
        <f t="shared" si="4"/>
        <v>26.439999999999998</v>
      </c>
      <c r="O32" s="158">
        <f t="shared" si="4"/>
        <v>108.58</v>
      </c>
      <c r="P32" s="158">
        <f t="shared" si="4"/>
        <v>98.839999999999989</v>
      </c>
      <c r="Q32" s="158">
        <f t="shared" si="4"/>
        <v>166.53</v>
      </c>
      <c r="R32" s="158">
        <f t="shared" si="4"/>
        <v>219.07999999999998</v>
      </c>
      <c r="S32" s="158">
        <f t="shared" si="4"/>
        <v>223.58191046151182</v>
      </c>
    </row>
    <row r="33" spans="2:19" ht="15">
      <c r="B33" s="91" t="s">
        <v>514</v>
      </c>
      <c r="C33" s="377" t="s">
        <v>346</v>
      </c>
      <c r="D33" s="92"/>
      <c r="E33" s="325"/>
      <c r="F33" s="325"/>
      <c r="G33" s="325"/>
      <c r="H33" s="325"/>
      <c r="I33" s="325"/>
      <c r="J33" s="325"/>
      <c r="K33" s="325"/>
      <c r="L33" s="325"/>
      <c r="M33" s="325"/>
      <c r="N33" s="33"/>
      <c r="O33" s="33"/>
      <c r="P33" s="33"/>
      <c r="Q33" s="33"/>
      <c r="R33" s="33"/>
      <c r="S33" s="33"/>
    </row>
    <row r="34" spans="2:19" ht="15">
      <c r="B34" s="92">
        <f>B32+1</f>
        <v>18</v>
      </c>
      <c r="C34" s="94" t="s">
        <v>515</v>
      </c>
      <c r="D34" s="92" t="s">
        <v>516</v>
      </c>
      <c r="E34" s="326">
        <f>IFERROR((E10+E32)/(E9+E16),0)</f>
        <v>0</v>
      </c>
      <c r="F34" s="326">
        <f t="shared" ref="F34:M34" si="5">IFERROR((F10+F32)/(F9+F16),0)</f>
        <v>0</v>
      </c>
      <c r="G34" s="326">
        <f t="shared" si="5"/>
        <v>0</v>
      </c>
      <c r="H34" s="326">
        <f t="shared" si="5"/>
        <v>0</v>
      </c>
      <c r="I34" s="326">
        <f t="shared" si="5"/>
        <v>0</v>
      </c>
      <c r="J34" s="326">
        <f t="shared" si="5"/>
        <v>0</v>
      </c>
      <c r="K34" s="326">
        <f t="shared" si="5"/>
        <v>0</v>
      </c>
      <c r="L34" s="326">
        <f t="shared" si="5"/>
        <v>0</v>
      </c>
      <c r="M34" s="326">
        <f t="shared" si="5"/>
        <v>0</v>
      </c>
      <c r="N34" s="159">
        <f>IFERROR((N10+N32)/(N9+N16)*10000000,0)</f>
        <v>6474.1930715542203</v>
      </c>
      <c r="O34" s="159">
        <f t="shared" ref="O34:Q34" si="6">IFERROR((O10+O32)/(O9+O16)*10000000,0)</f>
        <v>6814.8707008689316</v>
      </c>
      <c r="P34" s="159">
        <f t="shared" si="6"/>
        <v>6756.5377738042016</v>
      </c>
      <c r="Q34" s="159">
        <f t="shared" si="6"/>
        <v>5827.8487300237857</v>
      </c>
      <c r="R34" s="159">
        <f>IFERROR((R10+R32)/(R9+R16)*10000000,0)</f>
        <v>5884.6870176544398</v>
      </c>
      <c r="S34" s="159">
        <f>IFERROR((S10+S32)/(S9+S16)*10000000,0)</f>
        <v>6104.6747970249889</v>
      </c>
    </row>
    <row r="35" spans="2:19">
      <c r="B35" s="92">
        <f>B34+1</f>
        <v>19</v>
      </c>
      <c r="C35" s="94" t="s">
        <v>517</v>
      </c>
      <c r="D35" s="92" t="s">
        <v>40</v>
      </c>
      <c r="E35" s="325"/>
      <c r="F35" s="325"/>
      <c r="G35" s="325"/>
      <c r="H35" s="325"/>
      <c r="I35" s="325"/>
      <c r="J35" s="325"/>
      <c r="K35" s="325"/>
      <c r="L35" s="325"/>
      <c r="M35" s="325"/>
      <c r="N35" s="33"/>
      <c r="O35" s="33"/>
      <c r="P35" s="33"/>
      <c r="Q35" s="33"/>
      <c r="R35" s="33"/>
      <c r="S35" s="33"/>
    </row>
    <row r="36" spans="2:19" ht="18.75" customHeight="1">
      <c r="B36" s="92">
        <f>B35+1</f>
        <v>20</v>
      </c>
      <c r="C36" s="94" t="s">
        <v>518</v>
      </c>
      <c r="D36" s="92" t="s">
        <v>516</v>
      </c>
      <c r="E36" s="325"/>
      <c r="F36" s="325"/>
      <c r="G36" s="325"/>
      <c r="H36" s="325"/>
      <c r="I36" s="325"/>
      <c r="J36" s="325"/>
      <c r="K36" s="325"/>
      <c r="L36" s="325"/>
      <c r="M36" s="325"/>
      <c r="N36" s="33"/>
      <c r="O36" s="33"/>
      <c r="P36" s="33"/>
      <c r="Q36" s="33"/>
      <c r="R36" s="33"/>
      <c r="S36" s="33"/>
    </row>
    <row r="37" spans="2:19" ht="15">
      <c r="B37" s="91" t="s">
        <v>519</v>
      </c>
      <c r="C37" s="377" t="s">
        <v>520</v>
      </c>
      <c r="D37" s="92"/>
      <c r="E37" s="325"/>
      <c r="F37" s="325"/>
      <c r="G37" s="325"/>
      <c r="H37" s="325"/>
      <c r="I37" s="325"/>
      <c r="J37" s="325"/>
      <c r="K37" s="325"/>
      <c r="L37" s="325"/>
      <c r="M37" s="325"/>
      <c r="N37" s="33"/>
      <c r="O37" s="33"/>
      <c r="P37" s="33"/>
      <c r="Q37" s="33"/>
      <c r="R37" s="33"/>
      <c r="S37" s="33"/>
    </row>
    <row r="38" spans="2:19" ht="28.5">
      <c r="B38" s="92">
        <f>B36+1</f>
        <v>21</v>
      </c>
      <c r="C38" s="94" t="s">
        <v>662</v>
      </c>
      <c r="D38" s="92" t="s">
        <v>521</v>
      </c>
      <c r="E38" s="325"/>
      <c r="F38" s="325"/>
      <c r="G38" s="325"/>
      <c r="H38" s="325"/>
      <c r="I38" s="325"/>
      <c r="J38" s="325"/>
      <c r="K38" s="325"/>
      <c r="L38" s="325"/>
      <c r="M38" s="325"/>
      <c r="N38" s="33"/>
      <c r="O38" s="33"/>
      <c r="P38" s="33"/>
      <c r="Q38" s="33"/>
      <c r="R38" s="33"/>
      <c r="S38" s="33"/>
    </row>
    <row r="39" spans="2:19" ht="24" customHeight="1">
      <c r="B39" s="92">
        <f>B38+1</f>
        <v>22</v>
      </c>
      <c r="C39" s="94" t="s">
        <v>522</v>
      </c>
      <c r="D39" s="92" t="s">
        <v>521</v>
      </c>
      <c r="E39" s="325"/>
      <c r="F39" s="325"/>
      <c r="G39" s="325"/>
      <c r="H39" s="325"/>
      <c r="I39" s="325"/>
      <c r="J39" s="325"/>
      <c r="K39" s="325"/>
      <c r="L39" s="325"/>
      <c r="M39" s="325"/>
      <c r="N39" s="33"/>
      <c r="O39" s="33"/>
      <c r="P39" s="33"/>
      <c r="Q39" s="33"/>
      <c r="R39" s="33"/>
      <c r="S39" s="33"/>
    </row>
    <row r="40" spans="2:19">
      <c r="B40" s="92">
        <f t="shared" ref="B40:B47" si="7">B39+1</f>
        <v>23</v>
      </c>
      <c r="C40" s="94" t="s">
        <v>661</v>
      </c>
      <c r="D40" s="92" t="s">
        <v>521</v>
      </c>
      <c r="E40" s="325"/>
      <c r="F40" s="325"/>
      <c r="G40" s="325"/>
      <c r="H40" s="325"/>
      <c r="I40" s="325"/>
      <c r="J40" s="325"/>
      <c r="K40" s="325"/>
      <c r="L40" s="325"/>
      <c r="M40" s="325"/>
      <c r="N40" s="33"/>
      <c r="O40" s="33"/>
      <c r="P40" s="33"/>
      <c r="Q40" s="33"/>
      <c r="R40" s="33"/>
      <c r="S40" s="33"/>
    </row>
    <row r="41" spans="2:19">
      <c r="B41" s="92">
        <f t="shared" si="7"/>
        <v>24</v>
      </c>
      <c r="C41" s="94" t="s">
        <v>523</v>
      </c>
      <c r="D41" s="92" t="s">
        <v>521</v>
      </c>
      <c r="E41" s="325"/>
      <c r="F41" s="325"/>
      <c r="G41" s="325"/>
      <c r="H41" s="325"/>
      <c r="I41" s="325"/>
      <c r="J41" s="325"/>
      <c r="K41" s="325"/>
      <c r="L41" s="325"/>
      <c r="M41" s="325"/>
      <c r="N41" s="33"/>
      <c r="O41" s="33"/>
      <c r="P41" s="33"/>
      <c r="Q41" s="33"/>
      <c r="R41" s="33"/>
      <c r="S41" s="33"/>
    </row>
    <row r="42" spans="2:19" ht="21.75" customHeight="1">
      <c r="B42" s="92">
        <f t="shared" si="7"/>
        <v>25</v>
      </c>
      <c r="C42" s="94" t="s">
        <v>524</v>
      </c>
      <c r="D42" s="92" t="s">
        <v>521</v>
      </c>
      <c r="E42" s="325"/>
      <c r="F42" s="325"/>
      <c r="G42" s="325"/>
      <c r="H42" s="325"/>
      <c r="I42" s="325"/>
      <c r="J42" s="325"/>
      <c r="K42" s="325"/>
      <c r="L42" s="325"/>
      <c r="M42" s="325"/>
      <c r="N42" s="33">
        <v>5108</v>
      </c>
      <c r="O42" s="33">
        <v>4854</v>
      </c>
      <c r="P42" s="33">
        <v>4553</v>
      </c>
      <c r="Q42" s="33">
        <v>3484</v>
      </c>
      <c r="R42" s="33">
        <v>3746</v>
      </c>
      <c r="S42" s="33">
        <v>4060</v>
      </c>
    </row>
    <row r="43" spans="2:19">
      <c r="B43" s="92">
        <f t="shared" si="7"/>
        <v>26</v>
      </c>
      <c r="C43" s="94" t="s">
        <v>660</v>
      </c>
      <c r="D43" s="92" t="s">
        <v>521</v>
      </c>
      <c r="E43" s="325"/>
      <c r="F43" s="325"/>
      <c r="G43" s="325"/>
      <c r="H43" s="325"/>
      <c r="I43" s="325"/>
      <c r="J43" s="325"/>
      <c r="K43" s="325"/>
      <c r="L43" s="325"/>
      <c r="M43" s="325"/>
      <c r="N43" s="33"/>
      <c r="O43" s="33"/>
      <c r="P43" s="33"/>
      <c r="Q43" s="33"/>
      <c r="R43" s="33"/>
      <c r="S43" s="33"/>
    </row>
    <row r="44" spans="2:19">
      <c r="B44" s="92">
        <f t="shared" si="7"/>
        <v>27</v>
      </c>
      <c r="C44" s="94" t="s">
        <v>525</v>
      </c>
      <c r="D44" s="92" t="s">
        <v>521</v>
      </c>
      <c r="E44" s="325"/>
      <c r="F44" s="325"/>
      <c r="G44" s="325"/>
      <c r="H44" s="325"/>
      <c r="I44" s="325"/>
      <c r="J44" s="325"/>
      <c r="K44" s="325"/>
      <c r="L44" s="325"/>
      <c r="M44" s="325"/>
      <c r="N44" s="33"/>
      <c r="O44" s="33"/>
      <c r="P44" s="33"/>
      <c r="Q44" s="33"/>
      <c r="R44" s="33"/>
      <c r="S44" s="33"/>
    </row>
    <row r="45" spans="2:19">
      <c r="B45" s="92">
        <f t="shared" si="7"/>
        <v>28</v>
      </c>
      <c r="C45" s="94" t="s">
        <v>526</v>
      </c>
      <c r="D45" s="92" t="s">
        <v>521</v>
      </c>
      <c r="E45" s="325"/>
      <c r="F45" s="325"/>
      <c r="G45" s="325"/>
      <c r="H45" s="325"/>
      <c r="I45" s="325"/>
      <c r="J45" s="325"/>
      <c r="K45" s="325"/>
      <c r="L45" s="325"/>
      <c r="M45" s="325"/>
      <c r="N45" s="33"/>
      <c r="O45" s="33"/>
      <c r="P45" s="33"/>
      <c r="Q45" s="33"/>
      <c r="R45" s="33"/>
      <c r="S45" s="33"/>
    </row>
    <row r="46" spans="2:19">
      <c r="B46" s="92">
        <f t="shared" si="7"/>
        <v>29</v>
      </c>
      <c r="C46" s="94" t="s">
        <v>526</v>
      </c>
      <c r="D46" s="92" t="s">
        <v>521</v>
      </c>
      <c r="E46" s="325"/>
      <c r="F46" s="325"/>
      <c r="G46" s="325"/>
      <c r="H46" s="325"/>
      <c r="I46" s="325"/>
      <c r="J46" s="325"/>
      <c r="K46" s="325"/>
      <c r="L46" s="325"/>
      <c r="M46" s="325"/>
      <c r="N46" s="33"/>
      <c r="O46" s="33"/>
      <c r="P46" s="33"/>
      <c r="Q46" s="33"/>
      <c r="R46" s="33"/>
      <c r="S46" s="33"/>
    </row>
    <row r="47" spans="2:19">
      <c r="B47" s="92">
        <f t="shared" si="7"/>
        <v>30</v>
      </c>
      <c r="C47" s="94" t="s">
        <v>527</v>
      </c>
      <c r="D47" s="92" t="s">
        <v>521</v>
      </c>
      <c r="E47" s="325"/>
      <c r="F47" s="325"/>
      <c r="G47" s="325"/>
      <c r="H47" s="325"/>
      <c r="I47" s="325"/>
      <c r="J47" s="325"/>
      <c r="K47" s="325"/>
      <c r="L47" s="325"/>
      <c r="M47" s="325"/>
      <c r="N47" s="33">
        <v>3694</v>
      </c>
      <c r="O47" s="33">
        <v>3870</v>
      </c>
      <c r="P47" s="33">
        <v>3995</v>
      </c>
      <c r="Q47" s="33">
        <v>3339</v>
      </c>
      <c r="R47" s="33">
        <v>3218</v>
      </c>
      <c r="S47" s="33">
        <v>3983</v>
      </c>
    </row>
    <row r="48" spans="2:19" ht="3.75" customHeight="1"/>
    <row r="49" spans="2:18" ht="15">
      <c r="B49" s="90" t="s">
        <v>425</v>
      </c>
      <c r="D49" s="88"/>
    </row>
    <row r="50" spans="2:18" ht="18.75" customHeight="1">
      <c r="B50" s="381">
        <v>1</v>
      </c>
      <c r="C50" s="618" t="s">
        <v>528</v>
      </c>
      <c r="D50" s="618"/>
      <c r="E50" s="618"/>
      <c r="F50" s="618"/>
      <c r="G50" s="618"/>
      <c r="H50" s="618"/>
      <c r="I50" s="618"/>
      <c r="J50" s="618"/>
      <c r="K50" s="618"/>
      <c r="L50" s="618"/>
      <c r="M50" s="618"/>
      <c r="N50" s="618"/>
      <c r="O50" s="618"/>
      <c r="P50" s="618"/>
      <c r="Q50" s="618"/>
      <c r="R50" s="618"/>
    </row>
    <row r="51" spans="2:18" ht="20.25" customHeight="1">
      <c r="B51" s="89">
        <f>B50+1</f>
        <v>2</v>
      </c>
      <c r="C51" s="618" t="s">
        <v>529</v>
      </c>
      <c r="D51" s="618"/>
      <c r="E51" s="618"/>
      <c r="F51" s="618"/>
      <c r="G51" s="618"/>
      <c r="H51" s="618"/>
      <c r="I51" s="618"/>
      <c r="J51" s="618"/>
      <c r="K51" s="618"/>
      <c r="L51" s="618"/>
      <c r="M51" s="618"/>
      <c r="N51" s="618"/>
      <c r="O51" s="618"/>
      <c r="P51" s="618"/>
      <c r="Q51" s="618"/>
      <c r="R51" s="618"/>
    </row>
    <row r="52" spans="2:18" ht="15" customHeight="1">
      <c r="B52" s="89">
        <f>B51+1</f>
        <v>3</v>
      </c>
      <c r="C52" s="618" t="s">
        <v>530</v>
      </c>
      <c r="D52" s="618"/>
      <c r="E52" s="618"/>
      <c r="F52" s="618"/>
      <c r="G52" s="618"/>
      <c r="H52" s="618"/>
      <c r="I52" s="618"/>
      <c r="J52" s="618"/>
      <c r="K52" s="618"/>
      <c r="L52" s="618"/>
      <c r="M52" s="618"/>
      <c r="N52" s="618"/>
      <c r="O52" s="618"/>
      <c r="P52" s="618"/>
      <c r="Q52" s="618"/>
      <c r="R52" s="618"/>
    </row>
    <row r="53" spans="2:18" ht="15.75" customHeight="1">
      <c r="B53" s="89">
        <f>B52+1</f>
        <v>4</v>
      </c>
      <c r="C53" s="618" t="s">
        <v>531</v>
      </c>
      <c r="D53" s="618"/>
      <c r="E53" s="618"/>
      <c r="F53" s="618"/>
      <c r="G53" s="618"/>
      <c r="H53" s="618"/>
      <c r="I53" s="618"/>
      <c r="J53" s="618"/>
      <c r="K53" s="618"/>
      <c r="L53" s="618"/>
      <c r="M53" s="618"/>
      <c r="N53" s="618"/>
      <c r="O53" s="618"/>
      <c r="P53" s="618"/>
      <c r="Q53" s="618"/>
      <c r="R53" s="618"/>
    </row>
  </sheetData>
  <mergeCells count="12">
    <mergeCell ref="C52:R52"/>
    <mergeCell ref="C53:R53"/>
    <mergeCell ref="B6:B7"/>
    <mergeCell ref="C6:C7"/>
    <mergeCell ref="D6:D7"/>
    <mergeCell ref="E6:P6"/>
    <mergeCell ref="Q6:S6"/>
    <mergeCell ref="B2:R2"/>
    <mergeCell ref="B3:R3"/>
    <mergeCell ref="B4:R4"/>
    <mergeCell ref="C50:R50"/>
    <mergeCell ref="C51:R51"/>
  </mergeCells>
  <pageMargins left="1.95" right="0.2" top="0.25" bottom="0.25" header="0.3" footer="0.3"/>
  <pageSetup paperSize="9" scale="72" orientation="landscape" r:id="rId1"/>
</worksheet>
</file>

<file path=xl/worksheets/sheet16.xml><?xml version="1.0" encoding="utf-8"?>
<worksheet xmlns="http://schemas.openxmlformats.org/spreadsheetml/2006/main" xmlns:r="http://schemas.openxmlformats.org/officeDocument/2006/relationships">
  <sheetPr>
    <pageSetUpPr fitToPage="1"/>
  </sheetPr>
  <dimension ref="B2:AE54"/>
  <sheetViews>
    <sheetView topLeftCell="A31" zoomScale="87" zoomScaleNormal="87" workbookViewId="0">
      <selection activeCell="L24" sqref="L24"/>
    </sheetView>
  </sheetViews>
  <sheetFormatPr defaultRowHeight="12.75"/>
  <cols>
    <col min="1" max="1" width="7.140625" customWidth="1"/>
    <col min="3" max="3" width="52.85546875" customWidth="1"/>
    <col min="5" max="13" width="0" hidden="1" customWidth="1"/>
    <col min="14" max="14" width="9.7109375" customWidth="1"/>
    <col min="15" max="16" width="9.28515625" customWidth="1"/>
    <col min="17" max="17" width="10" customWidth="1"/>
    <col min="18" max="18" width="10.140625" customWidth="1"/>
    <col min="19" max="19" width="9.85546875" customWidth="1"/>
    <col min="20" max="20" width="9.28515625" customWidth="1"/>
    <col min="21" max="21" width="10" customWidth="1"/>
    <col min="22" max="23" width="9.5703125" customWidth="1"/>
    <col min="24" max="25" width="10.85546875" bestFit="1" customWidth="1"/>
  </cols>
  <sheetData>
    <row r="2" spans="2:25" ht="16.5">
      <c r="B2" s="624" t="s">
        <v>839</v>
      </c>
      <c r="C2" s="624"/>
      <c r="D2" s="624"/>
      <c r="E2" s="624"/>
      <c r="F2" s="624"/>
      <c r="G2" s="624"/>
      <c r="H2" s="624"/>
      <c r="I2" s="624"/>
      <c r="J2" s="624"/>
      <c r="K2" s="624"/>
      <c r="L2" s="624"/>
      <c r="M2" s="624"/>
      <c r="N2" s="624"/>
      <c r="O2" s="624"/>
      <c r="P2" s="624"/>
      <c r="Q2" s="624"/>
      <c r="R2" s="624"/>
      <c r="S2" s="624"/>
      <c r="T2" s="624"/>
      <c r="U2" s="624"/>
      <c r="V2" s="624"/>
    </row>
    <row r="3" spans="2:25" ht="15">
      <c r="B3" s="553" t="s">
        <v>948</v>
      </c>
      <c r="C3" s="553"/>
      <c r="D3" s="553"/>
      <c r="E3" s="553"/>
      <c r="F3" s="553"/>
      <c r="G3" s="553"/>
      <c r="H3" s="553"/>
      <c r="I3" s="553"/>
      <c r="J3" s="553"/>
      <c r="K3" s="553"/>
      <c r="L3" s="553"/>
      <c r="M3" s="553"/>
      <c r="N3" s="553"/>
      <c r="O3" s="553"/>
      <c r="P3" s="553"/>
      <c r="Q3" s="553"/>
      <c r="R3" s="553"/>
      <c r="S3" s="553"/>
      <c r="T3" s="553"/>
      <c r="U3" s="553"/>
      <c r="V3" s="553"/>
    </row>
    <row r="4" spans="2:25" ht="16.5">
      <c r="B4" s="610" t="s">
        <v>943</v>
      </c>
      <c r="C4" s="610"/>
      <c r="D4" s="610"/>
      <c r="E4" s="610"/>
      <c r="F4" s="610"/>
      <c r="G4" s="610"/>
      <c r="H4" s="610"/>
      <c r="I4" s="610"/>
      <c r="J4" s="610"/>
      <c r="K4" s="610"/>
      <c r="L4" s="610"/>
      <c r="M4" s="610"/>
      <c r="N4" s="610"/>
      <c r="O4" s="610"/>
      <c r="P4" s="610"/>
      <c r="Q4" s="610"/>
      <c r="R4" s="610"/>
      <c r="S4" s="610"/>
      <c r="T4" s="610"/>
      <c r="U4" s="610"/>
      <c r="V4" s="610"/>
    </row>
    <row r="6" spans="2:25" ht="15">
      <c r="B6" s="619" t="s">
        <v>360</v>
      </c>
      <c r="C6" s="619" t="s">
        <v>14</v>
      </c>
      <c r="D6" s="619" t="s">
        <v>37</v>
      </c>
      <c r="E6" s="619" t="s">
        <v>668</v>
      </c>
      <c r="F6" s="619"/>
      <c r="G6" s="619"/>
      <c r="H6" s="619"/>
      <c r="I6" s="619"/>
      <c r="J6" s="619"/>
      <c r="K6" s="619"/>
      <c r="L6" s="619"/>
      <c r="M6" s="619"/>
      <c r="N6" s="619"/>
      <c r="O6" s="619"/>
      <c r="P6" s="619"/>
      <c r="Q6" s="619"/>
      <c r="R6" s="619"/>
      <c r="S6" s="619"/>
      <c r="T6" s="621" t="s">
        <v>669</v>
      </c>
      <c r="U6" s="622"/>
      <c r="V6" s="622"/>
      <c r="W6" s="622"/>
      <c r="X6" s="622"/>
      <c r="Y6" s="623"/>
    </row>
    <row r="7" spans="2:25" ht="15">
      <c r="B7" s="619"/>
      <c r="C7" s="619"/>
      <c r="D7" s="619"/>
      <c r="E7" s="327" t="s">
        <v>80</v>
      </c>
      <c r="F7" s="327" t="s">
        <v>81</v>
      </c>
      <c r="G7" s="327" t="s">
        <v>82</v>
      </c>
      <c r="H7" s="327" t="s">
        <v>83</v>
      </c>
      <c r="I7" s="327" t="s">
        <v>84</v>
      </c>
      <c r="J7" s="327" t="s">
        <v>85</v>
      </c>
      <c r="K7" s="327" t="s">
        <v>86</v>
      </c>
      <c r="L7" s="327" t="s">
        <v>87</v>
      </c>
      <c r="M7" s="327" t="s">
        <v>88</v>
      </c>
      <c r="N7" s="619" t="s">
        <v>89</v>
      </c>
      <c r="O7" s="619"/>
      <c r="P7" s="619" t="s">
        <v>90</v>
      </c>
      <c r="Q7" s="619"/>
      <c r="R7" s="619" t="s">
        <v>91</v>
      </c>
      <c r="S7" s="619"/>
      <c r="T7" s="619" t="s">
        <v>80</v>
      </c>
      <c r="U7" s="619"/>
      <c r="V7" s="619" t="s">
        <v>81</v>
      </c>
      <c r="W7" s="619"/>
      <c r="X7" s="619" t="s">
        <v>868</v>
      </c>
      <c r="Y7" s="619"/>
    </row>
    <row r="8" spans="2:25" ht="15">
      <c r="B8" s="91"/>
      <c r="C8" s="91"/>
      <c r="D8" s="91"/>
      <c r="E8" s="327"/>
      <c r="F8" s="327"/>
      <c r="G8" s="327"/>
      <c r="H8" s="327"/>
      <c r="I8" s="327"/>
      <c r="J8" s="327"/>
      <c r="K8" s="327"/>
      <c r="L8" s="327"/>
      <c r="M8" s="327"/>
      <c r="N8" s="91" t="s">
        <v>711</v>
      </c>
      <c r="O8" s="91" t="s">
        <v>712</v>
      </c>
      <c r="P8" s="91" t="s">
        <v>711</v>
      </c>
      <c r="Q8" s="91" t="s">
        <v>712</v>
      </c>
      <c r="R8" s="91" t="s">
        <v>711</v>
      </c>
      <c r="S8" s="91" t="s">
        <v>712</v>
      </c>
      <c r="T8" s="91" t="s">
        <v>711</v>
      </c>
      <c r="U8" s="91" t="s">
        <v>712</v>
      </c>
      <c r="V8" s="91" t="s">
        <v>711</v>
      </c>
      <c r="W8" s="91" t="s">
        <v>712</v>
      </c>
      <c r="X8" s="91" t="s">
        <v>711</v>
      </c>
      <c r="Y8" s="91" t="s">
        <v>712</v>
      </c>
    </row>
    <row r="9" spans="2:25" ht="15">
      <c r="B9" s="91" t="s">
        <v>67</v>
      </c>
      <c r="C9" s="93" t="s">
        <v>489</v>
      </c>
      <c r="D9" s="92"/>
      <c r="E9" s="325"/>
      <c r="F9" s="325"/>
      <c r="G9" s="325"/>
      <c r="H9" s="325"/>
      <c r="I9" s="325"/>
      <c r="J9" s="325"/>
      <c r="K9" s="325"/>
      <c r="L9" s="325"/>
      <c r="M9" s="325"/>
      <c r="N9" s="101"/>
      <c r="O9" s="101"/>
      <c r="P9" s="33"/>
      <c r="Q9" s="33"/>
      <c r="R9" s="33"/>
      <c r="S9" s="33"/>
      <c r="T9" s="33"/>
      <c r="U9" s="33"/>
      <c r="V9" s="33"/>
      <c r="W9" s="33"/>
      <c r="X9" s="251"/>
      <c r="Y9" s="251"/>
    </row>
    <row r="10" spans="2:25" ht="14.25">
      <c r="B10" s="92">
        <v>1</v>
      </c>
      <c r="C10" s="33" t="s">
        <v>840</v>
      </c>
      <c r="D10" s="481" t="s">
        <v>698</v>
      </c>
      <c r="E10" s="328"/>
      <c r="F10" s="328"/>
      <c r="G10" s="328"/>
      <c r="H10" s="328"/>
      <c r="I10" s="328"/>
      <c r="J10" s="328"/>
      <c r="K10" s="328"/>
      <c r="L10" s="328"/>
      <c r="M10" s="328"/>
      <c r="N10" s="329">
        <v>4982.3</v>
      </c>
      <c r="O10" s="329">
        <v>1476.57</v>
      </c>
      <c r="P10" s="330">
        <v>5481.59</v>
      </c>
      <c r="Q10" s="330">
        <v>1806.41</v>
      </c>
      <c r="R10" s="330">
        <v>3215.58</v>
      </c>
      <c r="S10" s="330">
        <v>1106.4100000000001</v>
      </c>
      <c r="T10" s="330">
        <v>5142.09</v>
      </c>
      <c r="U10" s="330">
        <v>1280.47</v>
      </c>
      <c r="V10" s="329">
        <v>5963.11</v>
      </c>
      <c r="W10" s="329">
        <v>1576.68</v>
      </c>
      <c r="X10" s="482">
        <v>5265.0000000000018</v>
      </c>
      <c r="Y10" s="482">
        <v>1526</v>
      </c>
    </row>
    <row r="11" spans="2:25" ht="14.25">
      <c r="B11" s="92">
        <v>2</v>
      </c>
      <c r="C11" s="33" t="s">
        <v>491</v>
      </c>
      <c r="D11" s="481" t="s">
        <v>841</v>
      </c>
      <c r="E11" s="331"/>
      <c r="F11" s="331"/>
      <c r="G11" s="331"/>
      <c r="H11" s="331"/>
      <c r="I11" s="331"/>
      <c r="J11" s="331"/>
      <c r="K11" s="331"/>
      <c r="L11" s="331"/>
      <c r="M11" s="331"/>
      <c r="N11" s="329">
        <v>31.89</v>
      </c>
      <c r="O11" s="329">
        <v>11.31</v>
      </c>
      <c r="P11" s="329">
        <v>35.14</v>
      </c>
      <c r="Q11" s="329">
        <v>13.93</v>
      </c>
      <c r="R11" s="329">
        <v>21.2</v>
      </c>
      <c r="S11" s="329">
        <v>8.66</v>
      </c>
      <c r="T11" s="329">
        <v>34.31</v>
      </c>
      <c r="U11" s="329">
        <v>10.029999999999999</v>
      </c>
      <c r="V11" s="329">
        <v>38.44</v>
      </c>
      <c r="W11" s="329">
        <v>11.91</v>
      </c>
      <c r="X11" s="482">
        <v>33.35590815997115</v>
      </c>
      <c r="Y11" s="482">
        <v>11.120670123744834</v>
      </c>
    </row>
    <row r="12" spans="2:25" ht="15">
      <c r="B12" s="91" t="s">
        <v>72</v>
      </c>
      <c r="C12" s="93" t="s">
        <v>494</v>
      </c>
      <c r="D12" s="481"/>
      <c r="E12" s="332"/>
      <c r="F12" s="332"/>
      <c r="G12" s="332"/>
      <c r="H12" s="332"/>
      <c r="I12" s="332"/>
      <c r="J12" s="332"/>
      <c r="K12" s="332"/>
      <c r="L12" s="332"/>
      <c r="M12" s="332"/>
      <c r="N12" s="333"/>
      <c r="O12" s="333"/>
      <c r="P12" s="333"/>
      <c r="Q12" s="333"/>
      <c r="R12" s="333"/>
      <c r="S12" s="333"/>
      <c r="T12" s="333"/>
      <c r="U12" s="333"/>
      <c r="V12" s="329"/>
      <c r="W12" s="329"/>
      <c r="X12" s="251"/>
      <c r="Y12" s="251"/>
    </row>
    <row r="13" spans="2:25" ht="14.25">
      <c r="B13" s="92">
        <v>3</v>
      </c>
      <c r="C13" s="33" t="s">
        <v>842</v>
      </c>
      <c r="D13" s="481" t="s">
        <v>698</v>
      </c>
      <c r="E13" s="328"/>
      <c r="F13" s="328"/>
      <c r="G13" s="328"/>
      <c r="H13" s="328"/>
      <c r="I13" s="328"/>
      <c r="J13" s="328"/>
      <c r="K13" s="328"/>
      <c r="L13" s="328"/>
      <c r="M13" s="328"/>
      <c r="N13" s="329">
        <v>760.48</v>
      </c>
      <c r="O13" s="329">
        <v>419</v>
      </c>
      <c r="P13" s="330">
        <v>4798.88</v>
      </c>
      <c r="Q13" s="330">
        <v>895</v>
      </c>
      <c r="R13" s="330">
        <v>6106.89</v>
      </c>
      <c r="S13" s="330">
        <v>1569.45</v>
      </c>
      <c r="T13" s="330">
        <v>5197.6499999999996</v>
      </c>
      <c r="U13" s="330">
        <v>1562.97</v>
      </c>
      <c r="V13" s="329">
        <v>2481.16</v>
      </c>
      <c r="W13" s="329">
        <v>1906.56</v>
      </c>
      <c r="X13" s="251">
        <v>1022.317</v>
      </c>
      <c r="Y13" s="251">
        <v>857.96400000000006</v>
      </c>
    </row>
    <row r="14" spans="2:25" ht="14.25">
      <c r="B14" s="92">
        <v>4</v>
      </c>
      <c r="C14" s="33" t="s">
        <v>843</v>
      </c>
      <c r="D14" s="481" t="s">
        <v>698</v>
      </c>
      <c r="E14" s="332"/>
      <c r="F14" s="332"/>
      <c r="G14" s="332"/>
      <c r="H14" s="332"/>
      <c r="I14" s="332"/>
      <c r="J14" s="332"/>
      <c r="K14" s="332"/>
      <c r="L14" s="332"/>
      <c r="M14" s="332"/>
      <c r="N14" s="333"/>
      <c r="O14" s="333"/>
      <c r="P14" s="333"/>
      <c r="Q14" s="333"/>
      <c r="R14" s="333"/>
      <c r="S14" s="333"/>
      <c r="T14" s="333"/>
      <c r="U14" s="333"/>
      <c r="V14" s="333"/>
      <c r="W14" s="333"/>
      <c r="X14" s="251"/>
      <c r="Y14" s="251"/>
    </row>
    <row r="15" spans="2:25" ht="14.25">
      <c r="B15" s="92">
        <v>5</v>
      </c>
      <c r="C15" s="33" t="s">
        <v>844</v>
      </c>
      <c r="D15" s="481" t="s">
        <v>698</v>
      </c>
      <c r="E15" s="332"/>
      <c r="F15" s="332"/>
      <c r="G15" s="332"/>
      <c r="H15" s="332"/>
      <c r="I15" s="332"/>
      <c r="J15" s="332"/>
      <c r="K15" s="332"/>
      <c r="L15" s="332"/>
      <c r="M15" s="332"/>
      <c r="N15" s="333"/>
      <c r="O15" s="333"/>
      <c r="P15" s="333"/>
      <c r="Q15" s="333"/>
      <c r="R15" s="333"/>
      <c r="S15" s="333"/>
      <c r="T15" s="333"/>
      <c r="U15" s="333"/>
      <c r="V15" s="333"/>
      <c r="W15" s="333"/>
      <c r="X15" s="251"/>
      <c r="Y15" s="251"/>
    </row>
    <row r="16" spans="2:25" ht="14.25">
      <c r="B16" s="92">
        <v>6</v>
      </c>
      <c r="C16" s="33" t="s">
        <v>497</v>
      </c>
      <c r="D16" s="481" t="s">
        <v>698</v>
      </c>
      <c r="E16" s="332"/>
      <c r="F16" s="332"/>
      <c r="G16" s="332"/>
      <c r="H16" s="332"/>
      <c r="I16" s="332"/>
      <c r="J16" s="332"/>
      <c r="K16" s="332"/>
      <c r="L16" s="332"/>
      <c r="M16" s="332"/>
      <c r="N16" s="333"/>
      <c r="O16" s="333"/>
      <c r="P16" s="333"/>
      <c r="Q16" s="333"/>
      <c r="R16" s="333"/>
      <c r="S16" s="333"/>
      <c r="T16" s="333"/>
      <c r="U16" s="333"/>
      <c r="V16" s="333"/>
      <c r="W16" s="333"/>
      <c r="X16" s="251"/>
      <c r="Y16" s="251"/>
    </row>
    <row r="17" spans="2:31" ht="15" thickBot="1">
      <c r="B17" s="92">
        <v>7</v>
      </c>
      <c r="C17" s="33" t="s">
        <v>845</v>
      </c>
      <c r="D17" s="481" t="s">
        <v>698</v>
      </c>
      <c r="E17" s="332"/>
      <c r="F17" s="332"/>
      <c r="G17" s="332"/>
      <c r="H17" s="332"/>
      <c r="I17" s="332"/>
      <c r="J17" s="332"/>
      <c r="K17" s="332"/>
      <c r="L17" s="332"/>
      <c r="M17" s="332"/>
      <c r="N17" s="334">
        <f>SUM(N13:N16)</f>
        <v>760.48</v>
      </c>
      <c r="O17" s="334">
        <f>SUM(O13:O16)</f>
        <v>419</v>
      </c>
      <c r="P17" s="334">
        <f t="shared" ref="P17:Y17" si="0">SUM(P13:P16)</f>
        <v>4798.88</v>
      </c>
      <c r="Q17" s="334">
        <f t="shared" si="0"/>
        <v>895</v>
      </c>
      <c r="R17" s="334">
        <f t="shared" si="0"/>
        <v>6106.89</v>
      </c>
      <c r="S17" s="334">
        <f t="shared" si="0"/>
        <v>1569.45</v>
      </c>
      <c r="T17" s="334">
        <f t="shared" si="0"/>
        <v>5197.6499999999996</v>
      </c>
      <c r="U17" s="334">
        <f t="shared" si="0"/>
        <v>1562.97</v>
      </c>
      <c r="V17" s="334">
        <f t="shared" si="0"/>
        <v>2481.16</v>
      </c>
      <c r="W17" s="334">
        <f t="shared" si="0"/>
        <v>1906.56</v>
      </c>
      <c r="X17" s="334">
        <f t="shared" si="0"/>
        <v>1022.317</v>
      </c>
      <c r="Y17" s="334">
        <f t="shared" si="0"/>
        <v>857.96400000000006</v>
      </c>
      <c r="AE17" s="335" t="e">
        <f>(AE16+AF16)/(AE15+AF15)*10^7</f>
        <v>#DIV/0!</v>
      </c>
    </row>
    <row r="18" spans="2:31" ht="15">
      <c r="B18" s="91" t="s">
        <v>73</v>
      </c>
      <c r="C18" s="93" t="s">
        <v>499</v>
      </c>
      <c r="D18" s="481"/>
      <c r="E18" s="332"/>
      <c r="F18" s="332"/>
      <c r="G18" s="332"/>
      <c r="H18" s="332"/>
      <c r="I18" s="332"/>
      <c r="J18" s="332"/>
      <c r="K18" s="332"/>
      <c r="L18" s="332"/>
      <c r="M18" s="332"/>
      <c r="N18" s="333"/>
      <c r="O18" s="333"/>
      <c r="P18" s="333"/>
      <c r="Q18" s="333"/>
      <c r="R18" s="333"/>
      <c r="S18" s="333"/>
      <c r="T18" s="333"/>
      <c r="U18" s="333"/>
      <c r="V18" s="333"/>
      <c r="W18" s="333"/>
      <c r="X18" s="251"/>
      <c r="Y18" s="251"/>
    </row>
    <row r="19" spans="2:31" ht="14.25">
      <c r="B19" s="92">
        <v>8</v>
      </c>
      <c r="C19" s="33" t="s">
        <v>846</v>
      </c>
      <c r="D19" s="481" t="s">
        <v>841</v>
      </c>
      <c r="E19" s="331"/>
      <c r="F19" s="331"/>
      <c r="G19" s="331"/>
      <c r="H19" s="331"/>
      <c r="I19" s="331"/>
      <c r="J19" s="331"/>
      <c r="K19" s="331"/>
      <c r="L19" s="331"/>
      <c r="M19" s="331"/>
      <c r="N19" s="329">
        <v>4.93</v>
      </c>
      <c r="O19" s="329">
        <v>3.31</v>
      </c>
      <c r="P19" s="329">
        <v>32.630000000000003</v>
      </c>
      <c r="Q19" s="329">
        <v>7.22</v>
      </c>
      <c r="R19" s="329">
        <v>41.01</v>
      </c>
      <c r="S19" s="329">
        <v>12.29</v>
      </c>
      <c r="T19" s="329">
        <v>32.340000000000003</v>
      </c>
      <c r="U19" s="329">
        <v>11.45</v>
      </c>
      <c r="V19" s="329">
        <v>15.06</v>
      </c>
      <c r="W19" s="329">
        <v>13.48</v>
      </c>
      <c r="X19" s="251">
        <v>6.41645193</v>
      </c>
      <c r="Y19" s="251">
        <v>6.0631398499999998</v>
      </c>
    </row>
    <row r="20" spans="2:31" ht="14.25">
      <c r="B20" s="92">
        <v>9</v>
      </c>
      <c r="C20" s="33" t="s">
        <v>847</v>
      </c>
      <c r="D20" s="481" t="s">
        <v>841</v>
      </c>
      <c r="E20" s="332"/>
      <c r="F20" s="332"/>
      <c r="G20" s="332"/>
      <c r="H20" s="332"/>
      <c r="I20" s="332"/>
      <c r="J20" s="332"/>
      <c r="K20" s="332"/>
      <c r="L20" s="332"/>
      <c r="M20" s="332"/>
      <c r="N20" s="333"/>
      <c r="O20" s="333"/>
      <c r="P20" s="333"/>
      <c r="Q20" s="333"/>
      <c r="R20" s="333"/>
      <c r="S20" s="333"/>
      <c r="T20" s="333"/>
      <c r="U20" s="333"/>
      <c r="V20" s="333"/>
      <c r="W20" s="333"/>
      <c r="X20" s="251"/>
      <c r="Y20" s="251"/>
    </row>
    <row r="21" spans="2:31" ht="14.25">
      <c r="B21" s="92">
        <v>10</v>
      </c>
      <c r="C21" s="33" t="s">
        <v>502</v>
      </c>
      <c r="D21" s="481" t="s">
        <v>841</v>
      </c>
      <c r="E21" s="332"/>
      <c r="F21" s="332"/>
      <c r="G21" s="332"/>
      <c r="H21" s="332"/>
      <c r="I21" s="332"/>
      <c r="J21" s="332"/>
      <c r="K21" s="332"/>
      <c r="L21" s="332"/>
      <c r="M21" s="332"/>
      <c r="N21" s="333"/>
      <c r="O21" s="333"/>
      <c r="P21" s="333"/>
      <c r="Q21" s="333"/>
      <c r="R21" s="333"/>
      <c r="S21" s="333"/>
      <c r="T21" s="333"/>
      <c r="U21" s="333"/>
      <c r="V21" s="333"/>
      <c r="W21" s="333"/>
      <c r="X21" s="251"/>
      <c r="Y21" s="251"/>
    </row>
    <row r="22" spans="2:31" ht="14.25">
      <c r="B22" s="92">
        <v>11</v>
      </c>
      <c r="C22" s="33" t="s">
        <v>503</v>
      </c>
      <c r="D22" s="481" t="s">
        <v>841</v>
      </c>
      <c r="E22" s="331"/>
      <c r="F22" s="331"/>
      <c r="G22" s="331"/>
      <c r="H22" s="331"/>
      <c r="I22" s="331"/>
      <c r="J22" s="331"/>
      <c r="K22" s="331"/>
      <c r="L22" s="331"/>
      <c r="M22" s="331"/>
      <c r="N22" s="334">
        <f>SUM(N19:N21)</f>
        <v>4.93</v>
      </c>
      <c r="O22" s="334">
        <f>SUM(O19:O21)</f>
        <v>3.31</v>
      </c>
      <c r="P22" s="334">
        <f t="shared" ref="P22:Y22" si="1">SUM(P19:P21)</f>
        <v>32.630000000000003</v>
      </c>
      <c r="Q22" s="334">
        <f t="shared" si="1"/>
        <v>7.22</v>
      </c>
      <c r="R22" s="334">
        <f t="shared" si="1"/>
        <v>41.01</v>
      </c>
      <c r="S22" s="334">
        <f t="shared" si="1"/>
        <v>12.29</v>
      </c>
      <c r="T22" s="334">
        <f t="shared" si="1"/>
        <v>32.340000000000003</v>
      </c>
      <c r="U22" s="334">
        <f t="shared" si="1"/>
        <v>11.45</v>
      </c>
      <c r="V22" s="334">
        <f t="shared" si="1"/>
        <v>15.06</v>
      </c>
      <c r="W22" s="334">
        <f t="shared" si="1"/>
        <v>13.48</v>
      </c>
      <c r="X22" s="334">
        <f t="shared" si="1"/>
        <v>6.41645193</v>
      </c>
      <c r="Y22" s="334">
        <f t="shared" si="1"/>
        <v>6.0631398499999998</v>
      </c>
    </row>
    <row r="23" spans="2:31" ht="15">
      <c r="B23" s="91" t="s">
        <v>504</v>
      </c>
      <c r="C23" s="93" t="s">
        <v>505</v>
      </c>
      <c r="D23" s="481"/>
      <c r="E23" s="332"/>
      <c r="F23" s="332"/>
      <c r="G23" s="332"/>
      <c r="H23" s="332"/>
      <c r="I23" s="332"/>
      <c r="J23" s="332"/>
      <c r="K23" s="332"/>
      <c r="L23" s="332"/>
      <c r="M23" s="332"/>
      <c r="N23" s="333"/>
      <c r="O23" s="333"/>
      <c r="P23" s="333"/>
      <c r="Q23" s="333"/>
      <c r="R23" s="333"/>
      <c r="S23" s="333"/>
      <c r="T23" s="333"/>
      <c r="U23" s="333"/>
      <c r="V23" s="333"/>
      <c r="W23" s="333"/>
      <c r="X23" s="251"/>
      <c r="Y23" s="251"/>
    </row>
    <row r="24" spans="2:31" ht="14.25">
      <c r="B24" s="92">
        <v>12</v>
      </c>
      <c r="C24" s="33" t="s">
        <v>506</v>
      </c>
      <c r="D24" s="481"/>
      <c r="E24" s="332"/>
      <c r="F24" s="332"/>
      <c r="G24" s="332"/>
      <c r="H24" s="332"/>
      <c r="I24" s="332"/>
      <c r="J24" s="332"/>
      <c r="K24" s="332"/>
      <c r="L24" s="332"/>
      <c r="M24" s="332"/>
      <c r="N24" s="333"/>
      <c r="O24" s="333"/>
      <c r="P24" s="333"/>
      <c r="Q24" s="333"/>
      <c r="R24" s="333"/>
      <c r="S24" s="333"/>
      <c r="T24" s="333"/>
      <c r="U24" s="333"/>
      <c r="V24" s="333"/>
      <c r="W24" s="333"/>
      <c r="X24" s="251"/>
      <c r="Y24" s="251"/>
    </row>
    <row r="25" spans="2:31" ht="14.25">
      <c r="B25" s="92"/>
      <c r="C25" s="33" t="s">
        <v>507</v>
      </c>
      <c r="D25" s="481" t="s">
        <v>841</v>
      </c>
      <c r="E25" s="331"/>
      <c r="F25" s="332"/>
      <c r="G25" s="332"/>
      <c r="H25" s="332"/>
      <c r="I25" s="332"/>
      <c r="J25" s="332"/>
      <c r="K25" s="332"/>
      <c r="L25" s="332"/>
      <c r="M25" s="332"/>
      <c r="N25" s="333"/>
      <c r="O25" s="333"/>
      <c r="P25" s="333"/>
      <c r="Q25" s="333"/>
      <c r="R25" s="333"/>
      <c r="S25" s="333"/>
      <c r="T25" s="333"/>
      <c r="U25" s="333"/>
      <c r="V25" s="333"/>
      <c r="W25" s="333"/>
      <c r="X25" s="251"/>
      <c r="Y25" s="251"/>
    </row>
    <row r="26" spans="2:31" ht="14.25">
      <c r="B26" s="92"/>
      <c r="C26" s="33" t="s">
        <v>508</v>
      </c>
      <c r="D26" s="481" t="s">
        <v>841</v>
      </c>
      <c r="E26" s="331"/>
      <c r="F26" s="332"/>
      <c r="G26" s="332"/>
      <c r="H26" s="332"/>
      <c r="I26" s="332"/>
      <c r="J26" s="332"/>
      <c r="K26" s="332"/>
      <c r="L26" s="332"/>
      <c r="M26" s="332"/>
      <c r="N26" s="333"/>
      <c r="O26" s="333"/>
      <c r="P26" s="333"/>
      <c r="Q26" s="333"/>
      <c r="R26" s="333"/>
      <c r="S26" s="333"/>
      <c r="T26" s="333"/>
      <c r="U26" s="333"/>
      <c r="V26" s="333"/>
      <c r="W26" s="333"/>
      <c r="X26" s="251"/>
      <c r="Y26" s="251"/>
    </row>
    <row r="27" spans="2:31" ht="14.25">
      <c r="B27" s="92"/>
      <c r="C27" s="33" t="s">
        <v>509</v>
      </c>
      <c r="D27" s="481" t="s">
        <v>841</v>
      </c>
      <c r="E27" s="331"/>
      <c r="F27" s="332"/>
      <c r="G27" s="332"/>
      <c r="H27" s="332"/>
      <c r="I27" s="332"/>
      <c r="J27" s="332"/>
      <c r="K27" s="332"/>
      <c r="L27" s="332"/>
      <c r="M27" s="332"/>
      <c r="N27" s="333"/>
      <c r="O27" s="333"/>
      <c r="P27" s="333"/>
      <c r="Q27" s="333"/>
      <c r="R27" s="333"/>
      <c r="S27" s="333"/>
      <c r="T27" s="333"/>
      <c r="U27" s="333"/>
      <c r="V27" s="333"/>
      <c r="W27" s="333"/>
      <c r="X27" s="251"/>
      <c r="Y27" s="251"/>
    </row>
    <row r="28" spans="2:31" ht="14.25">
      <c r="B28" s="92"/>
      <c r="C28" s="33" t="s">
        <v>9</v>
      </c>
      <c r="D28" s="481" t="s">
        <v>841</v>
      </c>
      <c r="E28" s="331"/>
      <c r="F28" s="332"/>
      <c r="G28" s="332"/>
      <c r="H28" s="332"/>
      <c r="I28" s="332"/>
      <c r="J28" s="332"/>
      <c r="K28" s="332"/>
      <c r="L28" s="332"/>
      <c r="M28" s="332"/>
      <c r="N28" s="333"/>
      <c r="O28" s="333"/>
      <c r="P28" s="333"/>
      <c r="Q28" s="333"/>
      <c r="R28" s="333"/>
      <c r="S28" s="333"/>
      <c r="T28" s="333"/>
      <c r="U28" s="333"/>
      <c r="V28" s="333"/>
      <c r="W28" s="333"/>
      <c r="X28" s="251"/>
      <c r="Y28" s="251"/>
    </row>
    <row r="29" spans="2:31" ht="14.25">
      <c r="B29" s="92">
        <v>13</v>
      </c>
      <c r="C29" s="33" t="s">
        <v>848</v>
      </c>
      <c r="D29" s="481" t="s">
        <v>841</v>
      </c>
      <c r="E29" s="331"/>
      <c r="F29" s="332"/>
      <c r="G29" s="332"/>
      <c r="H29" s="332"/>
      <c r="I29" s="332"/>
      <c r="J29" s="332"/>
      <c r="K29" s="332"/>
      <c r="L29" s="332"/>
      <c r="M29" s="332"/>
      <c r="N29" s="333"/>
      <c r="O29" s="333"/>
      <c r="P29" s="333"/>
      <c r="Q29" s="333"/>
      <c r="R29" s="333"/>
      <c r="S29" s="333"/>
      <c r="T29" s="333"/>
      <c r="U29" s="333"/>
      <c r="V29" s="333"/>
      <c r="W29" s="333"/>
      <c r="X29" s="251"/>
      <c r="Y29" s="251"/>
    </row>
    <row r="30" spans="2:31" ht="14.25">
      <c r="B30" s="92">
        <v>14</v>
      </c>
      <c r="C30" s="33" t="s">
        <v>511</v>
      </c>
      <c r="D30" s="481" t="s">
        <v>841</v>
      </c>
      <c r="E30" s="331"/>
      <c r="F30" s="332"/>
      <c r="G30" s="332"/>
      <c r="H30" s="332"/>
      <c r="I30" s="332"/>
      <c r="J30" s="332"/>
      <c r="K30" s="332"/>
      <c r="L30" s="332"/>
      <c r="M30" s="332"/>
      <c r="N30" s="333"/>
      <c r="O30" s="333"/>
      <c r="P30" s="333"/>
      <c r="Q30" s="333"/>
      <c r="R30" s="333"/>
      <c r="S30" s="333"/>
      <c r="T30" s="333"/>
      <c r="U30" s="333"/>
      <c r="V30" s="333"/>
      <c r="W30" s="333"/>
      <c r="X30" s="251"/>
      <c r="Y30" s="251"/>
    </row>
    <row r="31" spans="2:31" ht="14.25">
      <c r="B31" s="92">
        <v>15</v>
      </c>
      <c r="C31" s="33" t="s">
        <v>849</v>
      </c>
      <c r="D31" s="481" t="s">
        <v>841</v>
      </c>
      <c r="E31" s="331"/>
      <c r="F31" s="332"/>
      <c r="G31" s="332"/>
      <c r="H31" s="332"/>
      <c r="I31" s="332"/>
      <c r="J31" s="332"/>
      <c r="K31" s="332"/>
      <c r="L31" s="332"/>
      <c r="M31" s="332"/>
      <c r="N31" s="333"/>
      <c r="O31" s="333"/>
      <c r="P31" s="333"/>
      <c r="Q31" s="333"/>
      <c r="R31" s="333"/>
      <c r="S31" s="333"/>
      <c r="T31" s="333"/>
      <c r="U31" s="333"/>
      <c r="V31" s="333"/>
      <c r="W31" s="333"/>
      <c r="X31" s="251"/>
      <c r="Y31" s="251"/>
    </row>
    <row r="32" spans="2:31" ht="14.25">
      <c r="B32" s="92">
        <v>16</v>
      </c>
      <c r="C32" s="33" t="s">
        <v>512</v>
      </c>
      <c r="D32" s="481" t="s">
        <v>841</v>
      </c>
      <c r="E32" s="331"/>
      <c r="F32" s="331"/>
      <c r="G32" s="331"/>
      <c r="H32" s="331"/>
      <c r="I32" s="331"/>
      <c r="J32" s="331"/>
      <c r="K32" s="331"/>
      <c r="L32" s="331"/>
      <c r="M32" s="331"/>
      <c r="N32" s="329"/>
      <c r="O32" s="329"/>
      <c r="P32" s="329"/>
      <c r="Q32" s="329"/>
      <c r="R32" s="329"/>
      <c r="S32" s="329"/>
      <c r="T32" s="329"/>
      <c r="U32" s="329"/>
      <c r="V32" s="329"/>
      <c r="W32" s="329"/>
      <c r="X32" s="251"/>
      <c r="Y32" s="251"/>
    </row>
    <row r="33" spans="2:25" ht="14.25">
      <c r="B33" s="92">
        <v>17</v>
      </c>
      <c r="C33" s="33" t="s">
        <v>850</v>
      </c>
      <c r="D33" s="481" t="s">
        <v>841</v>
      </c>
      <c r="E33" s="331"/>
      <c r="F33" s="331"/>
      <c r="G33" s="331"/>
      <c r="H33" s="331"/>
      <c r="I33" s="331"/>
      <c r="J33" s="331"/>
      <c r="K33" s="331"/>
      <c r="L33" s="331"/>
      <c r="M33" s="331"/>
      <c r="N33" s="334">
        <f>N22+N32</f>
        <v>4.93</v>
      </c>
      <c r="O33" s="334">
        <f>O22+O32</f>
        <v>3.31</v>
      </c>
      <c r="P33" s="334">
        <f t="shared" ref="P33:Y33" si="2">P22+P32</f>
        <v>32.630000000000003</v>
      </c>
      <c r="Q33" s="334">
        <f t="shared" si="2"/>
        <v>7.22</v>
      </c>
      <c r="R33" s="334">
        <f t="shared" si="2"/>
        <v>41.01</v>
      </c>
      <c r="S33" s="334">
        <f t="shared" si="2"/>
        <v>12.29</v>
      </c>
      <c r="T33" s="334">
        <f t="shared" si="2"/>
        <v>32.340000000000003</v>
      </c>
      <c r="U33" s="334">
        <f t="shared" si="2"/>
        <v>11.45</v>
      </c>
      <c r="V33" s="334">
        <f t="shared" si="2"/>
        <v>15.06</v>
      </c>
      <c r="W33" s="334">
        <f t="shared" si="2"/>
        <v>13.48</v>
      </c>
      <c r="X33" s="334">
        <f t="shared" si="2"/>
        <v>6.41645193</v>
      </c>
      <c r="Y33" s="334">
        <f t="shared" si="2"/>
        <v>6.0631398499999998</v>
      </c>
    </row>
    <row r="34" spans="2:25" ht="15">
      <c r="B34" s="91" t="s">
        <v>514</v>
      </c>
      <c r="C34" s="93" t="s">
        <v>346</v>
      </c>
      <c r="D34" s="481"/>
      <c r="E34" s="328"/>
      <c r="F34" s="328"/>
      <c r="G34" s="328"/>
      <c r="H34" s="328"/>
      <c r="I34" s="328"/>
      <c r="J34" s="328"/>
      <c r="K34" s="328"/>
      <c r="L34" s="328"/>
      <c r="M34" s="328"/>
      <c r="N34" s="330"/>
      <c r="O34" s="330"/>
      <c r="P34" s="330"/>
      <c r="Q34" s="330"/>
      <c r="R34" s="330"/>
      <c r="S34" s="330"/>
      <c r="T34" s="330"/>
      <c r="U34" s="330"/>
      <c r="V34" s="330"/>
      <c r="W34" s="330"/>
      <c r="X34" s="251"/>
      <c r="Y34" s="251"/>
    </row>
    <row r="35" spans="2:25" ht="14.25">
      <c r="B35" s="92">
        <v>18</v>
      </c>
      <c r="C35" s="33" t="s">
        <v>851</v>
      </c>
      <c r="D35" s="481" t="s">
        <v>852</v>
      </c>
      <c r="E35" s="328"/>
      <c r="F35" s="328"/>
      <c r="G35" s="328"/>
      <c r="H35" s="328"/>
      <c r="I35" s="328"/>
      <c r="J35" s="328"/>
      <c r="K35" s="328"/>
      <c r="L35" s="328"/>
      <c r="M35" s="328"/>
      <c r="N35" s="334">
        <f>IFERROR((N11+N33)/(N10+N17),0)*10000000</f>
        <v>64115.289110848746</v>
      </c>
      <c r="O35" s="334">
        <f>IFERROR((O11+O33)/(O10+O17)*10000000,0)</f>
        <v>77127.196568842104</v>
      </c>
      <c r="P35" s="334">
        <f t="shared" ref="P35:Y35" si="3">IFERROR((P11+P33)/(P10+P17)*10000000,0)</f>
        <v>65921.110610701653</v>
      </c>
      <c r="Q35" s="334">
        <f t="shared" si="3"/>
        <v>78292.447277532832</v>
      </c>
      <c r="R35" s="334">
        <f t="shared" si="3"/>
        <v>66731.241827541395</v>
      </c>
      <c r="S35" s="334">
        <f t="shared" si="3"/>
        <v>78292.58630870076</v>
      </c>
      <c r="T35" s="334">
        <f t="shared" si="3"/>
        <v>64460.034778437373</v>
      </c>
      <c r="U35" s="334">
        <f t="shared" si="3"/>
        <v>75542.300874996465</v>
      </c>
      <c r="V35" s="334">
        <f t="shared" si="3"/>
        <v>63356.571971289406</v>
      </c>
      <c r="W35" s="334">
        <f t="shared" si="3"/>
        <v>72891.905237652303</v>
      </c>
      <c r="X35" s="334">
        <f t="shared" si="3"/>
        <v>63258.079861363985</v>
      </c>
      <c r="Y35" s="334">
        <f t="shared" si="3"/>
        <v>72080.828291638769</v>
      </c>
    </row>
    <row r="36" spans="2:25" ht="14.25">
      <c r="B36" s="92">
        <v>19</v>
      </c>
      <c r="C36" s="33" t="s">
        <v>517</v>
      </c>
      <c r="D36" s="481"/>
      <c r="E36" s="328"/>
      <c r="F36" s="328"/>
      <c r="G36" s="328"/>
      <c r="H36" s="328"/>
      <c r="I36" s="328"/>
      <c r="J36" s="328"/>
      <c r="K36" s="332"/>
      <c r="L36" s="332"/>
      <c r="M36" s="332"/>
      <c r="N36" s="333"/>
      <c r="O36" s="333"/>
      <c r="P36" s="333"/>
      <c r="Q36" s="333"/>
      <c r="R36" s="333"/>
      <c r="S36" s="333"/>
      <c r="T36" s="333"/>
      <c r="U36" s="333"/>
      <c r="V36" s="333"/>
      <c r="W36" s="333"/>
      <c r="X36" s="251"/>
      <c r="Y36" s="251"/>
    </row>
    <row r="37" spans="2:25" ht="14.25">
      <c r="B37" s="92">
        <v>20</v>
      </c>
      <c r="C37" s="33" t="s">
        <v>853</v>
      </c>
      <c r="D37" s="481" t="s">
        <v>852</v>
      </c>
      <c r="E37" s="328"/>
      <c r="F37" s="328"/>
      <c r="G37" s="328"/>
      <c r="H37" s="328"/>
      <c r="I37" s="328"/>
      <c r="J37" s="328"/>
      <c r="K37" s="332"/>
      <c r="L37" s="332"/>
      <c r="M37" s="332"/>
      <c r="N37" s="625">
        <v>67426.61</v>
      </c>
      <c r="O37" s="626"/>
      <c r="P37" s="625">
        <v>69708.240000000005</v>
      </c>
      <c r="Q37" s="626"/>
      <c r="R37" s="625">
        <v>69724.98</v>
      </c>
      <c r="S37" s="626"/>
      <c r="T37" s="625">
        <v>65881.56</v>
      </c>
      <c r="U37" s="626"/>
      <c r="V37" s="625">
        <v>68284.320000000007</v>
      </c>
      <c r="W37" s="626"/>
      <c r="X37" s="627">
        <v>65954.692526331928</v>
      </c>
      <c r="Y37" s="628"/>
    </row>
    <row r="38" spans="2:25" ht="15">
      <c r="B38" s="91" t="s">
        <v>519</v>
      </c>
      <c r="C38" s="93" t="s">
        <v>520</v>
      </c>
      <c r="D38" s="481"/>
      <c r="E38" s="328"/>
      <c r="F38" s="328"/>
      <c r="G38" s="328"/>
      <c r="H38" s="328"/>
      <c r="I38" s="328"/>
      <c r="J38" s="328"/>
      <c r="K38" s="332"/>
      <c r="L38" s="332"/>
      <c r="M38" s="332"/>
      <c r="N38" s="333"/>
      <c r="O38" s="333"/>
      <c r="P38" s="333"/>
      <c r="Q38" s="333"/>
      <c r="R38" s="333"/>
      <c r="S38" s="333"/>
      <c r="T38" s="333"/>
      <c r="U38" s="333"/>
      <c r="V38" s="333"/>
      <c r="W38" s="333"/>
      <c r="X38" s="251"/>
      <c r="Y38" s="251"/>
    </row>
    <row r="39" spans="2:25" ht="14.25">
      <c r="B39" s="92">
        <v>21</v>
      </c>
      <c r="C39" s="33" t="s">
        <v>854</v>
      </c>
      <c r="D39" s="481" t="s">
        <v>855</v>
      </c>
      <c r="E39" s="328"/>
      <c r="F39" s="328"/>
      <c r="G39" s="328"/>
      <c r="H39" s="328"/>
      <c r="I39" s="328"/>
      <c r="J39" s="328"/>
      <c r="K39" s="332"/>
      <c r="L39" s="332"/>
      <c r="M39" s="332"/>
      <c r="N39" s="333"/>
      <c r="O39" s="333"/>
      <c r="P39" s="333"/>
      <c r="Q39" s="333"/>
      <c r="R39" s="333"/>
      <c r="S39" s="333"/>
      <c r="T39" s="333"/>
      <c r="U39" s="333"/>
      <c r="V39" s="333"/>
      <c r="W39" s="333"/>
      <c r="X39" s="251"/>
      <c r="Y39" s="251"/>
    </row>
    <row r="40" spans="2:25" ht="14.25">
      <c r="B40" s="92">
        <v>22</v>
      </c>
      <c r="C40" s="33" t="s">
        <v>856</v>
      </c>
      <c r="D40" s="481" t="s">
        <v>855</v>
      </c>
      <c r="E40" s="328"/>
      <c r="F40" s="328"/>
      <c r="G40" s="328"/>
      <c r="H40" s="328"/>
      <c r="I40" s="328"/>
      <c r="J40" s="328"/>
      <c r="K40" s="332"/>
      <c r="L40" s="332"/>
      <c r="M40" s="332"/>
      <c r="N40" s="333"/>
      <c r="O40" s="333"/>
      <c r="P40" s="333"/>
      <c r="Q40" s="333"/>
      <c r="R40" s="333"/>
      <c r="S40" s="333"/>
      <c r="T40" s="333"/>
      <c r="U40" s="333"/>
      <c r="V40" s="333"/>
      <c r="W40" s="333"/>
      <c r="X40" s="251"/>
      <c r="Y40" s="251"/>
    </row>
    <row r="41" spans="2:25" ht="14.25">
      <c r="B41" s="92">
        <v>23</v>
      </c>
      <c r="C41" s="33" t="s">
        <v>857</v>
      </c>
      <c r="D41" s="481" t="s">
        <v>855</v>
      </c>
      <c r="E41" s="328"/>
      <c r="F41" s="328"/>
      <c r="G41" s="328"/>
      <c r="H41" s="328"/>
      <c r="I41" s="328"/>
      <c r="J41" s="328"/>
      <c r="K41" s="332"/>
      <c r="L41" s="332"/>
      <c r="M41" s="332"/>
      <c r="N41" s="333"/>
      <c r="O41" s="333"/>
      <c r="P41" s="333"/>
      <c r="Q41" s="333"/>
      <c r="R41" s="333"/>
      <c r="S41" s="333"/>
      <c r="T41" s="333"/>
      <c r="U41" s="333"/>
      <c r="V41" s="333"/>
      <c r="W41" s="333"/>
      <c r="X41" s="251"/>
      <c r="Y41" s="251"/>
    </row>
    <row r="42" spans="2:25" ht="14.25">
      <c r="B42" s="92">
        <v>24</v>
      </c>
      <c r="C42" s="33" t="s">
        <v>858</v>
      </c>
      <c r="D42" s="481" t="s">
        <v>855</v>
      </c>
      <c r="E42" s="328"/>
      <c r="F42" s="328"/>
      <c r="G42" s="328"/>
      <c r="H42" s="328"/>
      <c r="I42" s="328"/>
      <c r="J42" s="328"/>
      <c r="K42" s="332"/>
      <c r="L42" s="332"/>
      <c r="M42" s="332"/>
      <c r="N42" s="333"/>
      <c r="O42" s="333"/>
      <c r="P42" s="333"/>
      <c r="Q42" s="333"/>
      <c r="R42" s="333"/>
      <c r="S42" s="333"/>
      <c r="T42" s="333"/>
      <c r="U42" s="333"/>
      <c r="V42" s="333"/>
      <c r="W42" s="333"/>
      <c r="X42" s="251"/>
      <c r="Y42" s="251"/>
    </row>
    <row r="43" spans="2:25" ht="14.25">
      <c r="B43" s="92">
        <v>25</v>
      </c>
      <c r="C43" s="33" t="s">
        <v>859</v>
      </c>
      <c r="D43" s="481" t="s">
        <v>855</v>
      </c>
      <c r="E43" s="328"/>
      <c r="F43" s="328"/>
      <c r="G43" s="328"/>
      <c r="H43" s="328"/>
      <c r="I43" s="328"/>
      <c r="J43" s="328"/>
      <c r="K43" s="332"/>
      <c r="L43" s="332"/>
      <c r="M43" s="332"/>
      <c r="N43" s="333"/>
      <c r="O43" s="333"/>
      <c r="P43" s="333"/>
      <c r="Q43" s="333"/>
      <c r="R43" s="333"/>
      <c r="S43" s="333"/>
      <c r="T43" s="333"/>
      <c r="U43" s="333"/>
      <c r="V43" s="333"/>
      <c r="W43" s="333"/>
      <c r="X43" s="251"/>
      <c r="Y43" s="251"/>
    </row>
    <row r="44" spans="2:25" ht="14.25">
      <c r="B44" s="92">
        <v>26</v>
      </c>
      <c r="C44" s="33" t="s">
        <v>860</v>
      </c>
      <c r="D44" s="481" t="s">
        <v>855</v>
      </c>
      <c r="E44" s="328"/>
      <c r="F44" s="328"/>
      <c r="G44" s="328"/>
      <c r="H44" s="328"/>
      <c r="I44" s="328"/>
      <c r="J44" s="328"/>
      <c r="K44" s="332"/>
      <c r="L44" s="332"/>
      <c r="M44" s="332"/>
      <c r="N44" s="333"/>
      <c r="O44" s="333"/>
      <c r="P44" s="333"/>
      <c r="Q44" s="333"/>
      <c r="R44" s="333"/>
      <c r="S44" s="333"/>
      <c r="T44" s="333"/>
      <c r="U44" s="333"/>
      <c r="V44" s="333"/>
      <c r="W44" s="333"/>
      <c r="X44" s="251"/>
      <c r="Y44" s="251"/>
    </row>
    <row r="45" spans="2:25" ht="14.25">
      <c r="B45" s="92">
        <v>27</v>
      </c>
      <c r="C45" s="33" t="s">
        <v>861</v>
      </c>
      <c r="D45" s="481" t="s">
        <v>855</v>
      </c>
      <c r="E45" s="328"/>
      <c r="F45" s="328"/>
      <c r="G45" s="328"/>
      <c r="H45" s="328"/>
      <c r="I45" s="328"/>
      <c r="J45" s="328"/>
      <c r="K45" s="332"/>
      <c r="L45" s="332"/>
      <c r="M45" s="332"/>
      <c r="N45" s="333"/>
      <c r="O45" s="333"/>
      <c r="P45" s="333"/>
      <c r="Q45" s="333"/>
      <c r="R45" s="333"/>
      <c r="S45" s="333"/>
      <c r="T45" s="333"/>
      <c r="U45" s="333"/>
      <c r="V45" s="333"/>
      <c r="W45" s="333"/>
      <c r="X45" s="251"/>
      <c r="Y45" s="251"/>
    </row>
    <row r="46" spans="2:25" ht="14.25">
      <c r="B46" s="92">
        <v>28</v>
      </c>
      <c r="C46" s="33" t="s">
        <v>862</v>
      </c>
      <c r="D46" s="481" t="s">
        <v>855</v>
      </c>
      <c r="E46" s="328"/>
      <c r="F46" s="328"/>
      <c r="G46" s="328"/>
      <c r="H46" s="328"/>
      <c r="I46" s="328"/>
      <c r="J46" s="328"/>
      <c r="K46" s="332"/>
      <c r="L46" s="332"/>
      <c r="M46" s="332"/>
      <c r="N46" s="333"/>
      <c r="O46" s="333"/>
      <c r="P46" s="333"/>
      <c r="Q46" s="333"/>
      <c r="R46" s="333"/>
      <c r="S46" s="333"/>
      <c r="T46" s="333"/>
      <c r="U46" s="333"/>
      <c r="V46" s="333"/>
      <c r="W46" s="333"/>
      <c r="X46" s="251"/>
      <c r="Y46" s="251"/>
    </row>
    <row r="47" spans="2:25" ht="14.25">
      <c r="B47" s="92">
        <v>29</v>
      </c>
      <c r="C47" s="33" t="s">
        <v>863</v>
      </c>
      <c r="D47" s="481" t="s">
        <v>855</v>
      </c>
      <c r="E47" s="328"/>
      <c r="F47" s="328"/>
      <c r="G47" s="328"/>
      <c r="H47" s="328"/>
      <c r="I47" s="328"/>
      <c r="J47" s="328"/>
      <c r="K47" s="332"/>
      <c r="L47" s="332"/>
      <c r="M47" s="332"/>
      <c r="N47" s="333"/>
      <c r="O47" s="333"/>
      <c r="P47" s="333"/>
      <c r="Q47" s="333"/>
      <c r="R47" s="333"/>
      <c r="S47" s="333"/>
      <c r="T47" s="333"/>
      <c r="U47" s="333"/>
      <c r="V47" s="333"/>
      <c r="W47" s="333"/>
      <c r="X47" s="251"/>
      <c r="Y47" s="251"/>
    </row>
    <row r="48" spans="2:25" ht="14.25">
      <c r="B48" s="92">
        <v>30</v>
      </c>
      <c r="C48" s="33" t="s">
        <v>864</v>
      </c>
      <c r="D48" s="481" t="s">
        <v>855</v>
      </c>
      <c r="E48" s="336">
        <v>9819</v>
      </c>
      <c r="F48" s="337"/>
      <c r="G48" s="337"/>
      <c r="H48" s="337"/>
      <c r="I48" s="337"/>
      <c r="J48" s="337"/>
      <c r="K48" s="337"/>
      <c r="L48" s="337"/>
      <c r="M48" s="337"/>
      <c r="N48" s="631">
        <v>9819</v>
      </c>
      <c r="O48" s="632"/>
      <c r="P48" s="631">
        <v>9819</v>
      </c>
      <c r="Q48" s="632"/>
      <c r="R48" s="631">
        <v>9819</v>
      </c>
      <c r="S48" s="632"/>
      <c r="T48" s="631">
        <v>9819</v>
      </c>
      <c r="U48" s="632"/>
      <c r="V48" s="631">
        <v>9819</v>
      </c>
      <c r="W48" s="632"/>
      <c r="X48" s="629">
        <v>9819</v>
      </c>
      <c r="Y48" s="630"/>
    </row>
    <row r="50" spans="2:3" ht="15">
      <c r="B50" s="90" t="s">
        <v>425</v>
      </c>
    </row>
    <row r="51" spans="2:3" ht="14.25">
      <c r="B51" s="89">
        <v>1</v>
      </c>
      <c r="C51" s="88" t="s">
        <v>528</v>
      </c>
    </row>
    <row r="52" spans="2:3" ht="14.25">
      <c r="B52" s="89">
        <v>2</v>
      </c>
      <c r="C52" s="88" t="s">
        <v>529</v>
      </c>
    </row>
    <row r="53" spans="2:3" ht="14.25">
      <c r="B53" s="89">
        <v>3</v>
      </c>
      <c r="C53" s="88" t="s">
        <v>530</v>
      </c>
    </row>
    <row r="54" spans="2:3" ht="14.25">
      <c r="B54" s="89">
        <v>4</v>
      </c>
      <c r="C54" s="88" t="s">
        <v>531</v>
      </c>
    </row>
  </sheetData>
  <mergeCells count="26">
    <mergeCell ref="X48:Y48"/>
    <mergeCell ref="N48:O48"/>
    <mergeCell ref="P48:Q48"/>
    <mergeCell ref="R48:S48"/>
    <mergeCell ref="T48:U48"/>
    <mergeCell ref="V48:W48"/>
    <mergeCell ref="N37:O37"/>
    <mergeCell ref="P37:Q37"/>
    <mergeCell ref="R37:S37"/>
    <mergeCell ref="T37:U37"/>
    <mergeCell ref="X37:Y37"/>
    <mergeCell ref="V37:W37"/>
    <mergeCell ref="B2:V2"/>
    <mergeCell ref="B3:V3"/>
    <mergeCell ref="B4:V4"/>
    <mergeCell ref="B6:B7"/>
    <mergeCell ref="C6:C7"/>
    <mergeCell ref="D6:D7"/>
    <mergeCell ref="N7:O7"/>
    <mergeCell ref="P7:Q7"/>
    <mergeCell ref="R7:S7"/>
    <mergeCell ref="X7:Y7"/>
    <mergeCell ref="E6:S6"/>
    <mergeCell ref="T6:Y6"/>
    <mergeCell ref="T7:U7"/>
    <mergeCell ref="V7:W7"/>
  </mergeCells>
  <pageMargins left="0.95" right="0.2" top="0.25" bottom="0.25" header="0.3" footer="0.3"/>
  <pageSetup paperSize="9" scale="72" orientation="landscape" r:id="rId1"/>
</worksheet>
</file>

<file path=xl/worksheets/sheet17.xml><?xml version="1.0" encoding="utf-8"?>
<worksheet xmlns="http://schemas.openxmlformats.org/spreadsheetml/2006/main" xmlns:r="http://schemas.openxmlformats.org/officeDocument/2006/relationships">
  <sheetPr>
    <pageSetUpPr fitToPage="1"/>
  </sheetPr>
  <dimension ref="B2:I24"/>
  <sheetViews>
    <sheetView showGridLines="0" topLeftCell="A4" zoomScale="90" zoomScaleNormal="90" workbookViewId="0">
      <selection activeCell="L24" sqref="L24"/>
    </sheetView>
  </sheetViews>
  <sheetFormatPr defaultColWidth="9.28515625" defaultRowHeight="14.25"/>
  <cols>
    <col min="1" max="1" width="2.42578125" style="88" customWidth="1"/>
    <col min="2" max="2" width="33.7109375" style="88" customWidth="1"/>
    <col min="3" max="3" width="11" style="88" customWidth="1"/>
    <col min="4" max="4" width="11.7109375" style="88" customWidth="1"/>
    <col min="5" max="5" width="12" style="88" customWidth="1"/>
    <col min="6" max="6" width="12.85546875" style="88" customWidth="1"/>
    <col min="7" max="9" width="12.28515625" style="88" customWidth="1"/>
    <col min="10" max="16384" width="9.28515625" style="88"/>
  </cols>
  <sheetData>
    <row r="2" spans="2:9" ht="14.25" customHeight="1">
      <c r="B2" s="553" t="s">
        <v>678</v>
      </c>
      <c r="C2" s="553"/>
      <c r="D2" s="553"/>
      <c r="E2" s="553"/>
      <c r="F2" s="553"/>
      <c r="G2" s="553"/>
      <c r="H2" s="553"/>
      <c r="I2" s="553"/>
    </row>
    <row r="3" spans="2:9" ht="14.25" customHeight="1">
      <c r="B3" s="553" t="s">
        <v>948</v>
      </c>
      <c r="C3" s="553"/>
      <c r="D3" s="553"/>
      <c r="E3" s="553"/>
      <c r="F3" s="553"/>
      <c r="G3" s="553"/>
      <c r="H3" s="553"/>
      <c r="I3" s="553"/>
    </row>
    <row r="4" spans="2:9" ht="14.25" customHeight="1">
      <c r="B4" s="554" t="s">
        <v>533</v>
      </c>
      <c r="C4" s="554"/>
      <c r="D4" s="554"/>
      <c r="E4" s="554"/>
      <c r="F4" s="554"/>
      <c r="G4" s="554"/>
      <c r="H4" s="554"/>
      <c r="I4" s="554"/>
    </row>
    <row r="6" spans="2:9" ht="15">
      <c r="B6" s="619" t="s">
        <v>14</v>
      </c>
      <c r="C6" s="619" t="s">
        <v>366</v>
      </c>
      <c r="D6" s="619" t="s">
        <v>37</v>
      </c>
      <c r="E6" s="288"/>
      <c r="F6" s="530" t="s">
        <v>410</v>
      </c>
      <c r="G6" s="530"/>
      <c r="H6" s="530"/>
      <c r="I6" s="531"/>
    </row>
    <row r="7" spans="2:9" ht="15">
      <c r="B7" s="619"/>
      <c r="C7" s="619"/>
      <c r="D7" s="619"/>
      <c r="E7" s="20" t="s">
        <v>668</v>
      </c>
      <c r="F7" s="20" t="s">
        <v>669</v>
      </c>
      <c r="G7" s="20" t="s">
        <v>670</v>
      </c>
      <c r="H7" s="20" t="s">
        <v>671</v>
      </c>
      <c r="I7" s="20" t="s">
        <v>672</v>
      </c>
    </row>
    <row r="8" spans="2:9" ht="15">
      <c r="B8" s="619"/>
      <c r="C8" s="619"/>
      <c r="D8" s="619"/>
      <c r="E8" s="20"/>
      <c r="F8" s="20" t="s">
        <v>5</v>
      </c>
      <c r="G8" s="20" t="s">
        <v>8</v>
      </c>
      <c r="H8" s="20" t="s">
        <v>8</v>
      </c>
      <c r="I8" s="20" t="s">
        <v>8</v>
      </c>
    </row>
    <row r="9" spans="2:9">
      <c r="B9" s="95" t="s">
        <v>114</v>
      </c>
      <c r="C9" s="98" t="s">
        <v>540</v>
      </c>
      <c r="D9" s="98" t="s">
        <v>40</v>
      </c>
      <c r="E9" s="33">
        <f>'F10'!E27</f>
        <v>5.25</v>
      </c>
      <c r="F9" s="33">
        <v>5.25</v>
      </c>
      <c r="G9" s="33">
        <f>'F10'!G27</f>
        <v>6.5</v>
      </c>
      <c r="H9" s="33">
        <f>'F10'!H27</f>
        <v>6.5</v>
      </c>
      <c r="I9" s="33">
        <f>'F10'!I27</f>
        <v>6.5</v>
      </c>
    </row>
    <row r="10" spans="2:9">
      <c r="B10" s="96" t="s">
        <v>364</v>
      </c>
      <c r="C10" s="99" t="s">
        <v>550</v>
      </c>
      <c r="D10" s="99" t="s">
        <v>47</v>
      </c>
      <c r="E10" s="33">
        <v>2120.37</v>
      </c>
      <c r="F10" s="33">
        <f>'F10'!F34</f>
        <v>2120.37</v>
      </c>
      <c r="G10" s="33">
        <f>'F10'!G34</f>
        <v>2120.37</v>
      </c>
      <c r="H10" s="33">
        <f>'F10'!H34</f>
        <v>2120.37</v>
      </c>
      <c r="I10" s="33">
        <f>'F10'!I34</f>
        <v>2120.37</v>
      </c>
    </row>
    <row r="11" spans="2:9">
      <c r="B11" s="95" t="s">
        <v>534</v>
      </c>
      <c r="C11" s="98" t="s">
        <v>541</v>
      </c>
      <c r="D11" s="98" t="s">
        <v>49</v>
      </c>
      <c r="E11" s="371">
        <f>'F10'!E38</f>
        <v>0.5</v>
      </c>
      <c r="F11" s="33">
        <f>'F10'!F38</f>
        <v>0.5</v>
      </c>
      <c r="G11" s="33">
        <f>'F10'!G38</f>
        <v>0.5</v>
      </c>
      <c r="H11" s="33">
        <f>'F10'!H38</f>
        <v>0.5</v>
      </c>
      <c r="I11" s="33">
        <f>'F10'!I38</f>
        <v>0.5</v>
      </c>
    </row>
    <row r="12" spans="2:9">
      <c r="B12" s="95" t="s">
        <v>535</v>
      </c>
      <c r="C12" s="98" t="s">
        <v>542</v>
      </c>
      <c r="D12" s="98" t="s">
        <v>543</v>
      </c>
      <c r="E12" s="33">
        <v>9819</v>
      </c>
      <c r="F12" s="33">
        <v>9819</v>
      </c>
      <c r="G12" s="33">
        <v>9819</v>
      </c>
      <c r="H12" s="33">
        <v>9819</v>
      </c>
      <c r="I12" s="33">
        <v>9819</v>
      </c>
    </row>
    <row r="13" spans="2:9">
      <c r="B13" s="95" t="s">
        <v>536</v>
      </c>
      <c r="C13" s="98" t="s">
        <v>544</v>
      </c>
      <c r="D13" s="98" t="s">
        <v>545</v>
      </c>
      <c r="E13" s="101">
        <v>6.9000000000000006E-2</v>
      </c>
      <c r="F13" s="216">
        <f>VC!G25</f>
        <v>6.5940085334393092E-2</v>
      </c>
      <c r="G13" s="101">
        <f>F13*1.02</f>
        <v>6.7258887041080961E-2</v>
      </c>
      <c r="H13" s="101">
        <f>G13*1.02</f>
        <v>6.8604064781902577E-2</v>
      </c>
      <c r="I13" s="101">
        <f>H13*1.02</f>
        <v>6.997614607754063E-2</v>
      </c>
    </row>
    <row r="14" spans="2:9">
      <c r="B14" s="95" t="s">
        <v>551</v>
      </c>
      <c r="C14" s="98" t="s">
        <v>546</v>
      </c>
      <c r="D14" s="98" t="s">
        <v>521</v>
      </c>
      <c r="E14" s="103">
        <v>3743.55</v>
      </c>
      <c r="F14" s="103">
        <f>VC!G26</f>
        <v>3376.0702396775105</v>
      </c>
      <c r="G14" s="103">
        <f>F14</f>
        <v>3376.0702396775105</v>
      </c>
      <c r="H14" s="103">
        <f t="shared" ref="H14:I14" si="0">G14</f>
        <v>3376.0702396775105</v>
      </c>
      <c r="I14" s="103">
        <f t="shared" si="0"/>
        <v>3376.0702396775105</v>
      </c>
    </row>
    <row r="15" spans="2:9">
      <c r="B15" s="95" t="s">
        <v>537</v>
      </c>
      <c r="C15" s="98" t="s">
        <v>547</v>
      </c>
      <c r="D15" s="98" t="s">
        <v>548</v>
      </c>
      <c r="E15" s="101">
        <v>6.6779999999999999</v>
      </c>
      <c r="F15" s="101">
        <f>VC!G27</f>
        <v>5.9127440922368573</v>
      </c>
      <c r="G15" s="101">
        <f>F15*1.02</f>
        <v>6.0309989740815944</v>
      </c>
      <c r="H15" s="101">
        <f>G15*1.02</f>
        <v>6.1516189535632266</v>
      </c>
      <c r="I15" s="101">
        <f>H15*1.02</f>
        <v>6.274651332634491</v>
      </c>
    </row>
    <row r="16" spans="2:9">
      <c r="B16" s="95" t="s">
        <v>538</v>
      </c>
      <c r="C16" s="98"/>
      <c r="D16" s="98" t="s">
        <v>549</v>
      </c>
      <c r="E16" s="101">
        <f t="shared" ref="E16:I16" si="1">(E10-(E11*E12/1000))/E14</f>
        <v>0.56509476299234673</v>
      </c>
      <c r="F16" s="101">
        <f t="shared" si="1"/>
        <v>0.6266044098069693</v>
      </c>
      <c r="G16" s="101">
        <f t="shared" si="1"/>
        <v>0.6266044098069693</v>
      </c>
      <c r="H16" s="101">
        <f t="shared" si="1"/>
        <v>0.6266044098069693</v>
      </c>
      <c r="I16" s="101">
        <f t="shared" si="1"/>
        <v>0.6266044098069693</v>
      </c>
    </row>
    <row r="17" spans="2:9" ht="15">
      <c r="B17" s="95" t="s">
        <v>686</v>
      </c>
      <c r="C17" s="98"/>
      <c r="D17" s="97" t="s">
        <v>361</v>
      </c>
      <c r="E17" s="216">
        <f t="shared" ref="E17:I17" si="2">IFERROR(((E10-E11*E12/1000)*E15/E14)*100/(100-E9),0)</f>
        <v>3.9827998176917059</v>
      </c>
      <c r="F17" s="216">
        <f t="shared" si="2"/>
        <v>3.9102390736208132</v>
      </c>
      <c r="G17" s="216">
        <f t="shared" si="2"/>
        <v>4.0417652970062399</v>
      </c>
      <c r="H17" s="216">
        <f t="shared" si="2"/>
        <v>4.1226006029463651</v>
      </c>
      <c r="I17" s="216">
        <f t="shared" si="2"/>
        <v>4.2050526150052923</v>
      </c>
    </row>
    <row r="18" spans="2:9" ht="15">
      <c r="B18" s="95" t="s">
        <v>687</v>
      </c>
      <c r="C18" s="98"/>
      <c r="D18" s="97" t="s">
        <v>361</v>
      </c>
      <c r="E18" s="216">
        <f t="shared" ref="E18:I18" si="3">IFERROR((E11*E13)*100/(100-E9),0)</f>
        <v>3.641160949868074E-2</v>
      </c>
      <c r="F18" s="216">
        <f t="shared" si="3"/>
        <v>3.4796878804429075E-2</v>
      </c>
      <c r="G18" s="216">
        <f t="shared" si="3"/>
        <v>3.5967319273305327E-2</v>
      </c>
      <c r="H18" s="216">
        <f t="shared" si="3"/>
        <v>3.6686665658771427E-2</v>
      </c>
      <c r="I18" s="216">
        <f t="shared" si="3"/>
        <v>3.7420398971946857E-2</v>
      </c>
    </row>
    <row r="19" spans="2:9" ht="15">
      <c r="B19" s="97" t="s">
        <v>539</v>
      </c>
      <c r="C19" s="98"/>
      <c r="D19" s="97" t="s">
        <v>361</v>
      </c>
      <c r="E19" s="338">
        <f>IFERROR(((E10-E11*E12/1000)*E15/E14+E11*E13)*100/(100-E9),0)</f>
        <v>4.0192114271903865</v>
      </c>
      <c r="F19" s="338">
        <f>IFERROR(((F10-F11*F12/1000)*F15/F14+F11*F13)*100/(100-F9),0)</f>
        <v>3.9450359524252421</v>
      </c>
      <c r="G19" s="338">
        <f t="shared" ref="G19:I19" si="4">IFERROR(((G10-G11*G12/1000)*G15/G14+G11*G13)*100/(100-G9),0)</f>
        <v>4.0777326162795458</v>
      </c>
      <c r="H19" s="338">
        <f t="shared" si="4"/>
        <v>4.1592872686051363</v>
      </c>
      <c r="I19" s="338">
        <f t="shared" si="4"/>
        <v>4.2424730139772393</v>
      </c>
    </row>
    <row r="20" spans="2:9">
      <c r="B20" s="88" t="s">
        <v>869</v>
      </c>
    </row>
    <row r="21" spans="2:9">
      <c r="B21" s="88" t="s">
        <v>870</v>
      </c>
    </row>
    <row r="24" spans="2:9">
      <c r="E24" s="372"/>
    </row>
  </sheetData>
  <mergeCells count="6">
    <mergeCell ref="B2:I2"/>
    <mergeCell ref="B3:I3"/>
    <mergeCell ref="B4:I4"/>
    <mergeCell ref="B6:B8"/>
    <mergeCell ref="D6:D8"/>
    <mergeCell ref="C6:C8"/>
  </mergeCells>
  <pageMargins left="0.95" right="0.45" top="0.75" bottom="0.75" header="0.3" footer="0.3"/>
  <pageSetup paperSize="9" fitToHeight="0" orientation="landscape" r:id="rId1"/>
</worksheet>
</file>

<file path=xl/worksheets/sheet18.xml><?xml version="1.0" encoding="utf-8"?>
<worksheet xmlns="http://schemas.openxmlformats.org/spreadsheetml/2006/main" xmlns:r="http://schemas.openxmlformats.org/officeDocument/2006/relationships">
  <sheetPr>
    <pageSetUpPr fitToPage="1"/>
  </sheetPr>
  <dimension ref="A1:O53"/>
  <sheetViews>
    <sheetView zoomScale="80" zoomScaleNormal="80" workbookViewId="0">
      <selection activeCell="O13" sqref="O13"/>
    </sheetView>
  </sheetViews>
  <sheetFormatPr defaultColWidth="9.28515625" defaultRowHeight="14.25"/>
  <cols>
    <col min="1" max="1" width="4.28515625" style="5" customWidth="1"/>
    <col min="2" max="2" width="23.140625" style="5" customWidth="1"/>
    <col min="3" max="3" width="12.7109375" style="5" customWidth="1"/>
    <col min="4" max="4" width="12.5703125" style="5" customWidth="1"/>
    <col min="5" max="5" width="12.85546875" style="5" customWidth="1"/>
    <col min="6" max="6" width="12.28515625" style="5" customWidth="1"/>
    <col min="7" max="7" width="12.85546875" style="5" customWidth="1"/>
    <col min="8" max="8" width="12.42578125" style="5" customWidth="1"/>
    <col min="9" max="9" width="13.28515625" style="5" customWidth="1"/>
    <col min="10" max="10" width="11.85546875" style="5" customWidth="1"/>
    <col min="11" max="11" width="10.7109375" style="5" customWidth="1"/>
    <col min="12" max="12" width="12.7109375" style="5" customWidth="1"/>
    <col min="13" max="13" width="12.140625" style="5" customWidth="1"/>
    <col min="14" max="14" width="11.5703125" style="5" customWidth="1"/>
    <col min="15" max="15" width="12" style="5" customWidth="1"/>
    <col min="16" max="16384" width="9.28515625" style="5"/>
  </cols>
  <sheetData>
    <row r="1" spans="1:15" ht="15">
      <c r="B1" s="322"/>
    </row>
    <row r="2" spans="1:15" ht="15">
      <c r="B2" s="553" t="s">
        <v>678</v>
      </c>
      <c r="C2" s="553"/>
      <c r="D2" s="553"/>
      <c r="E2" s="553"/>
      <c r="F2" s="553"/>
      <c r="G2" s="553"/>
      <c r="H2" s="553"/>
      <c r="I2" s="553"/>
      <c r="J2" s="553"/>
      <c r="K2" s="553"/>
      <c r="L2" s="553"/>
      <c r="M2" s="553"/>
      <c r="N2" s="553"/>
      <c r="O2" s="553"/>
    </row>
    <row r="3" spans="1:15" ht="15">
      <c r="B3" s="553" t="s">
        <v>948</v>
      </c>
      <c r="C3" s="553"/>
      <c r="D3" s="553"/>
      <c r="E3" s="553"/>
      <c r="F3" s="553"/>
      <c r="G3" s="553"/>
      <c r="H3" s="553"/>
      <c r="I3" s="553"/>
      <c r="J3" s="553"/>
      <c r="K3" s="553"/>
      <c r="L3" s="553"/>
      <c r="M3" s="553"/>
      <c r="N3" s="553"/>
      <c r="O3" s="553"/>
    </row>
    <row r="4" spans="1:15" ht="15">
      <c r="B4" s="554" t="s">
        <v>945</v>
      </c>
      <c r="C4" s="554"/>
      <c r="D4" s="554"/>
      <c r="E4" s="554"/>
      <c r="F4" s="554"/>
      <c r="G4" s="554"/>
      <c r="H4" s="554"/>
      <c r="I4" s="554"/>
      <c r="J4" s="554"/>
      <c r="K4" s="554"/>
      <c r="L4" s="554"/>
      <c r="M4" s="554"/>
      <c r="N4" s="554"/>
      <c r="O4" s="554"/>
    </row>
    <row r="5" spans="1:15" ht="15">
      <c r="B5" s="29" t="s">
        <v>668</v>
      </c>
      <c r="C5" s="72"/>
      <c r="D5" s="72"/>
      <c r="E5" s="72"/>
      <c r="F5" s="72"/>
      <c r="G5" s="72"/>
      <c r="H5" s="72"/>
      <c r="I5" s="41"/>
    </row>
    <row r="6" spans="1:15" ht="15">
      <c r="B6" s="29" t="s">
        <v>3</v>
      </c>
      <c r="C6" s="30"/>
      <c r="D6" s="30"/>
      <c r="O6" s="30" t="s">
        <v>79</v>
      </c>
    </row>
    <row r="7" spans="1:15" s="38" customFormat="1" ht="15">
      <c r="B7" s="36" t="s">
        <v>553</v>
      </c>
      <c r="C7" s="36" t="s">
        <v>80</v>
      </c>
      <c r="D7" s="36" t="s">
        <v>81</v>
      </c>
      <c r="E7" s="323" t="s">
        <v>82</v>
      </c>
      <c r="F7" s="323" t="s">
        <v>83</v>
      </c>
      <c r="G7" s="323" t="s">
        <v>84</v>
      </c>
      <c r="H7" s="323" t="s">
        <v>85</v>
      </c>
      <c r="I7" s="323" t="s">
        <v>86</v>
      </c>
      <c r="J7" s="323" t="s">
        <v>87</v>
      </c>
      <c r="K7" s="323" t="s">
        <v>88</v>
      </c>
      <c r="L7" s="378" t="s">
        <v>89</v>
      </c>
      <c r="M7" s="378" t="s">
        <v>90</v>
      </c>
      <c r="N7" s="378" t="s">
        <v>91</v>
      </c>
      <c r="O7" s="378" t="s">
        <v>78</v>
      </c>
    </row>
    <row r="8" spans="1:15" s="38" customFormat="1" ht="15">
      <c r="B8" s="71" t="s">
        <v>673</v>
      </c>
      <c r="C8" s="45"/>
      <c r="D8" s="45"/>
      <c r="E8" s="45"/>
      <c r="F8" s="45"/>
      <c r="G8" s="45"/>
      <c r="H8" s="45"/>
      <c r="I8" s="45"/>
      <c r="J8" s="45"/>
      <c r="K8" s="45"/>
      <c r="L8" s="180">
        <v>62.464970000000008</v>
      </c>
      <c r="M8" s="180">
        <v>70.366569999999996</v>
      </c>
      <c r="N8" s="180">
        <v>29.990804999999998</v>
      </c>
      <c r="O8" s="180">
        <f>SUM(C8:N8)</f>
        <v>162.82234500000001</v>
      </c>
    </row>
    <row r="9" spans="1:15" s="38" customFormat="1" ht="15">
      <c r="B9" s="71"/>
      <c r="C9" s="45"/>
      <c r="D9" s="45"/>
      <c r="E9" s="45"/>
      <c r="F9" s="45"/>
      <c r="G9" s="45"/>
      <c r="H9" s="45"/>
      <c r="I9" s="45"/>
      <c r="J9" s="45"/>
      <c r="K9" s="45"/>
      <c r="L9" s="180"/>
      <c r="M9" s="180"/>
      <c r="N9" s="180"/>
      <c r="O9" s="180"/>
    </row>
    <row r="10" spans="1:15" s="38" customFormat="1" ht="15">
      <c r="B10" s="71" t="s">
        <v>674</v>
      </c>
      <c r="C10" s="45"/>
      <c r="D10" s="45"/>
      <c r="E10" s="45"/>
      <c r="F10" s="45"/>
      <c r="G10" s="45"/>
      <c r="H10" s="45"/>
      <c r="I10" s="45"/>
      <c r="J10" s="45"/>
      <c r="K10" s="45"/>
      <c r="L10" s="180">
        <v>26.075030000000002</v>
      </c>
      <c r="M10" s="180">
        <v>29.373429999999995</v>
      </c>
      <c r="N10" s="180">
        <v>12.519194999999998</v>
      </c>
      <c r="O10" s="180">
        <f>SUM(C10:N10)</f>
        <v>67.967654999999993</v>
      </c>
    </row>
    <row r="11" spans="1:15" s="38" customFormat="1" ht="15">
      <c r="B11" s="43"/>
      <c r="C11" s="45"/>
      <c r="D11" s="45"/>
      <c r="E11" s="45"/>
      <c r="F11" s="45"/>
      <c r="G11" s="45"/>
      <c r="H11" s="45"/>
      <c r="I11" s="45"/>
      <c r="J11" s="45"/>
      <c r="K11" s="45"/>
      <c r="L11" s="45"/>
      <c r="M11" s="45"/>
      <c r="N11" s="45"/>
      <c r="O11" s="45"/>
    </row>
    <row r="12" spans="1:15">
      <c r="B12" s="43"/>
      <c r="C12" s="32"/>
      <c r="D12" s="32"/>
      <c r="E12" s="32"/>
      <c r="F12" s="32"/>
      <c r="G12" s="32"/>
      <c r="H12" s="32"/>
      <c r="I12" s="32"/>
      <c r="J12" s="32"/>
      <c r="K12" s="32"/>
      <c r="L12" s="32"/>
      <c r="M12" s="32"/>
      <c r="N12" s="32"/>
      <c r="O12" s="32"/>
    </row>
    <row r="13" spans="1:15" ht="15">
      <c r="B13" s="45" t="s">
        <v>78</v>
      </c>
      <c r="C13" s="166">
        <f>C8+C10</f>
        <v>0</v>
      </c>
      <c r="D13" s="166">
        <f t="shared" ref="D13:O13" si="0">D8+D10</f>
        <v>0</v>
      </c>
      <c r="E13" s="166">
        <f t="shared" si="0"/>
        <v>0</v>
      </c>
      <c r="F13" s="166">
        <f t="shared" si="0"/>
        <v>0</v>
      </c>
      <c r="G13" s="166">
        <f t="shared" si="0"/>
        <v>0</v>
      </c>
      <c r="H13" s="166">
        <f t="shared" si="0"/>
        <v>0</v>
      </c>
      <c r="I13" s="166">
        <f t="shared" si="0"/>
        <v>0</v>
      </c>
      <c r="J13" s="166">
        <f t="shared" si="0"/>
        <v>0</v>
      </c>
      <c r="K13" s="166">
        <f t="shared" si="0"/>
        <v>0</v>
      </c>
      <c r="L13" s="166">
        <f t="shared" si="0"/>
        <v>88.54</v>
      </c>
      <c r="M13" s="166">
        <f t="shared" si="0"/>
        <v>99.74</v>
      </c>
      <c r="N13" s="166">
        <f t="shared" si="0"/>
        <v>42.51</v>
      </c>
      <c r="O13" s="166">
        <f t="shared" si="0"/>
        <v>230.79000000000002</v>
      </c>
    </row>
    <row r="14" spans="1:15" ht="16.5">
      <c r="B14" s="29"/>
      <c r="C14" s="72"/>
      <c r="D14" s="72"/>
      <c r="E14" s="72"/>
      <c r="F14" s="72"/>
      <c r="G14" s="72"/>
      <c r="H14" s="72"/>
      <c r="I14" s="86"/>
    </row>
    <row r="15" spans="1:15" ht="15">
      <c r="B15" s="29" t="s">
        <v>669</v>
      </c>
      <c r="C15" s="72"/>
      <c r="D15" s="72"/>
      <c r="E15" s="72"/>
      <c r="F15" s="72"/>
      <c r="G15" s="72"/>
      <c r="H15" s="72"/>
      <c r="I15" s="72"/>
      <c r="J15" s="72"/>
      <c r="K15" s="72"/>
      <c r="L15" s="72"/>
      <c r="M15" s="72"/>
      <c r="N15" s="72"/>
      <c r="O15" s="41"/>
    </row>
    <row r="16" spans="1:15" ht="15">
      <c r="A16" s="5" t="s">
        <v>552</v>
      </c>
      <c r="B16" s="29" t="s">
        <v>5</v>
      </c>
      <c r="C16" s="30"/>
      <c r="D16" s="30"/>
      <c r="O16" s="30" t="s">
        <v>79</v>
      </c>
    </row>
    <row r="17" spans="2:15" ht="18.75" customHeight="1">
      <c r="B17" s="546" t="s">
        <v>553</v>
      </c>
      <c r="C17" s="542" t="s">
        <v>92</v>
      </c>
      <c r="D17" s="542"/>
      <c r="E17" s="542"/>
      <c r="F17" s="633" t="s">
        <v>5</v>
      </c>
      <c r="G17" s="633"/>
      <c r="H17" s="633"/>
      <c r="I17" s="633"/>
      <c r="J17" s="633"/>
      <c r="K17" s="633"/>
      <c r="L17" s="633"/>
      <c r="M17" s="633"/>
      <c r="N17" s="634"/>
      <c r="O17" s="36" t="s">
        <v>93</v>
      </c>
    </row>
    <row r="18" spans="2:15" ht="15">
      <c r="B18" s="548"/>
      <c r="C18" s="379" t="s">
        <v>80</v>
      </c>
      <c r="D18" s="379" t="s">
        <v>81</v>
      </c>
      <c r="E18" s="378" t="s">
        <v>82</v>
      </c>
      <c r="F18" s="323" t="s">
        <v>83</v>
      </c>
      <c r="G18" s="323" t="s">
        <v>84</v>
      </c>
      <c r="H18" s="323" t="s">
        <v>85</v>
      </c>
      <c r="I18" s="323" t="s">
        <v>86</v>
      </c>
      <c r="J18" s="323" t="s">
        <v>87</v>
      </c>
      <c r="K18" s="323" t="s">
        <v>88</v>
      </c>
      <c r="L18" s="323" t="s">
        <v>89</v>
      </c>
      <c r="M18" s="323" t="s">
        <v>90</v>
      </c>
      <c r="N18" s="323" t="s">
        <v>91</v>
      </c>
      <c r="O18" s="26"/>
    </row>
    <row r="19" spans="2:15" s="38" customFormat="1" ht="15">
      <c r="B19" s="71" t="s">
        <v>673</v>
      </c>
      <c r="C19" s="180">
        <v>256.40692000000001</v>
      </c>
      <c r="D19" s="180">
        <v>150.490205</v>
      </c>
      <c r="E19" s="180">
        <v>140.91657000000001</v>
      </c>
      <c r="F19" s="324">
        <v>163.413554</v>
      </c>
      <c r="G19" s="324">
        <v>358.08132240000003</v>
      </c>
      <c r="H19" s="324">
        <v>346.53031200000009</v>
      </c>
      <c r="I19" s="324">
        <v>358.08132240000003</v>
      </c>
      <c r="J19" s="324">
        <v>346.53031200000009</v>
      </c>
      <c r="K19" s="180">
        <v>127.06111440000002</v>
      </c>
      <c r="L19" s="180">
        <v>358.08132240000003</v>
      </c>
      <c r="M19" s="180">
        <v>323.42829119999999</v>
      </c>
      <c r="N19" s="180">
        <v>358.08132240000003</v>
      </c>
      <c r="O19" s="324">
        <f>SUM(C19:N19)</f>
        <v>3287.1025682</v>
      </c>
    </row>
    <row r="20" spans="2:15" s="38" customFormat="1" ht="15">
      <c r="B20" s="71"/>
      <c r="C20" s="180"/>
      <c r="D20" s="180"/>
      <c r="E20" s="180"/>
      <c r="F20" s="180"/>
      <c r="G20" s="180"/>
      <c r="H20" s="180"/>
      <c r="I20" s="180"/>
      <c r="J20" s="180"/>
      <c r="K20" s="180"/>
      <c r="L20" s="180"/>
      <c r="M20" s="180"/>
      <c r="N20" s="180"/>
      <c r="O20" s="180"/>
    </row>
    <row r="21" spans="2:15" s="38" customFormat="1" ht="15">
      <c r="B21" s="71" t="s">
        <v>674</v>
      </c>
      <c r="C21" s="180">
        <v>107.03308</v>
      </c>
      <c r="D21" s="180">
        <v>62.819794999999999</v>
      </c>
      <c r="E21" s="180">
        <v>58.823430000000002</v>
      </c>
      <c r="F21" s="180">
        <v>68.214445999999995</v>
      </c>
      <c r="G21" s="180">
        <v>149.4754776</v>
      </c>
      <c r="H21" s="180">
        <v>144.65368800000002</v>
      </c>
      <c r="I21" s="180">
        <v>149.4754776</v>
      </c>
      <c r="J21" s="180">
        <v>144.65368800000002</v>
      </c>
      <c r="K21" s="180">
        <v>53.039685600000006</v>
      </c>
      <c r="L21" s="180">
        <v>149.4754776</v>
      </c>
      <c r="M21" s="180">
        <v>135.01010879999998</v>
      </c>
      <c r="N21" s="180">
        <v>149.4754776</v>
      </c>
      <c r="O21" s="180">
        <f>SUM(C21:N21)</f>
        <v>1372.1498317999999</v>
      </c>
    </row>
    <row r="22" spans="2:15">
      <c r="B22" s="32"/>
      <c r="C22" s="175"/>
      <c r="D22" s="175"/>
      <c r="E22" s="175"/>
      <c r="F22" s="175"/>
      <c r="G22" s="175"/>
      <c r="H22" s="175"/>
      <c r="I22" s="175"/>
      <c r="J22" s="175"/>
      <c r="K22" s="175"/>
      <c r="L22" s="175"/>
      <c r="M22" s="175"/>
      <c r="N22" s="175"/>
      <c r="O22" s="175"/>
    </row>
    <row r="23" spans="2:15" ht="15">
      <c r="B23" s="45" t="s">
        <v>78</v>
      </c>
      <c r="C23" s="166">
        <f>C19+C21</f>
        <v>363.44</v>
      </c>
      <c r="D23" s="166">
        <f t="shared" ref="D23" si="1">D19+D21</f>
        <v>213.31</v>
      </c>
      <c r="E23" s="166">
        <f>E19+E21</f>
        <v>199.74</v>
      </c>
      <c r="F23" s="166">
        <f>SUM(F19:F22)</f>
        <v>231.62799999999999</v>
      </c>
      <c r="G23" s="166">
        <v>507.55680000000007</v>
      </c>
      <c r="H23" s="166">
        <v>491.18400000000008</v>
      </c>
      <c r="I23" s="166">
        <v>507.55680000000007</v>
      </c>
      <c r="J23" s="166">
        <v>491.18400000000008</v>
      </c>
      <c r="K23" s="166">
        <v>180.10080000000002</v>
      </c>
      <c r="L23" s="166">
        <v>507.55680000000007</v>
      </c>
      <c r="M23" s="166">
        <v>458.4384</v>
      </c>
      <c r="N23" s="166">
        <v>507.55680000000007</v>
      </c>
      <c r="O23" s="166">
        <f t="shared" ref="O23" si="2">SUM(O19:O22)</f>
        <v>4659.2523999999994</v>
      </c>
    </row>
    <row r="24" spans="2:15">
      <c r="E24" s="124"/>
    </row>
    <row r="25" spans="2:15" ht="15">
      <c r="B25" s="29"/>
      <c r="C25" s="72"/>
      <c r="D25" s="72"/>
      <c r="E25" s="72"/>
      <c r="F25" s="72"/>
      <c r="G25" s="72"/>
      <c r="H25" s="72"/>
      <c r="I25" s="72"/>
      <c r="J25" s="72"/>
      <c r="K25" s="72"/>
      <c r="L25" s="72"/>
      <c r="M25" s="72"/>
      <c r="N25" s="72"/>
      <c r="O25" s="41"/>
    </row>
    <row r="26" spans="2:15" ht="15">
      <c r="B26" s="29" t="s">
        <v>670</v>
      </c>
      <c r="C26" s="72"/>
      <c r="D26" s="72"/>
      <c r="E26" s="72"/>
      <c r="F26" s="72"/>
      <c r="G26" s="72"/>
      <c r="H26" s="72"/>
      <c r="I26" s="41"/>
    </row>
    <row r="27" spans="2:15" ht="15">
      <c r="B27" s="29" t="s">
        <v>8</v>
      </c>
      <c r="C27" s="30"/>
      <c r="D27" s="30"/>
      <c r="O27" s="30" t="s">
        <v>79</v>
      </c>
    </row>
    <row r="28" spans="2:15" ht="15">
      <c r="B28" s="36" t="s">
        <v>553</v>
      </c>
      <c r="C28" s="36" t="s">
        <v>80</v>
      </c>
      <c r="D28" s="36" t="s">
        <v>81</v>
      </c>
      <c r="E28" s="323" t="s">
        <v>82</v>
      </c>
      <c r="F28" s="323" t="s">
        <v>83</v>
      </c>
      <c r="G28" s="323" t="s">
        <v>84</v>
      </c>
      <c r="H28" s="323" t="s">
        <v>85</v>
      </c>
      <c r="I28" s="323" t="s">
        <v>86</v>
      </c>
      <c r="J28" s="323" t="s">
        <v>87</v>
      </c>
      <c r="K28" s="323" t="s">
        <v>88</v>
      </c>
      <c r="L28" s="323" t="s">
        <v>89</v>
      </c>
      <c r="M28" s="323" t="s">
        <v>90</v>
      </c>
      <c r="N28" s="323" t="s">
        <v>91</v>
      </c>
      <c r="O28" s="323" t="s">
        <v>78</v>
      </c>
    </row>
    <row r="29" spans="2:15" ht="15">
      <c r="B29" s="71" t="s">
        <v>673</v>
      </c>
      <c r="C29" s="180">
        <v>327.27862800000003</v>
      </c>
      <c r="D29" s="180">
        <v>338.1879156</v>
      </c>
      <c r="E29" s="180">
        <v>327.27862800000003</v>
      </c>
      <c r="F29" s="180">
        <v>338.1879156</v>
      </c>
      <c r="G29" s="180">
        <v>338.1879156</v>
      </c>
      <c r="H29" s="180">
        <v>327.27862800000003</v>
      </c>
      <c r="I29" s="180">
        <v>338.1879156</v>
      </c>
      <c r="J29" s="180">
        <v>327.27862800000003</v>
      </c>
      <c r="K29" s="180">
        <v>338.1879156</v>
      </c>
      <c r="L29" s="180">
        <v>338.1879156</v>
      </c>
      <c r="M29" s="180">
        <v>305.46005280000003</v>
      </c>
      <c r="N29" s="180">
        <v>338.1879156</v>
      </c>
      <c r="O29" s="180">
        <f>SUM(C29:N29)</f>
        <v>3981.8899740000002</v>
      </c>
    </row>
    <row r="30" spans="2:15" ht="15">
      <c r="B30" s="71"/>
      <c r="C30" s="180"/>
      <c r="D30" s="180"/>
      <c r="E30" s="180"/>
      <c r="F30" s="180"/>
      <c r="G30" s="180"/>
      <c r="H30" s="180"/>
      <c r="I30" s="180"/>
      <c r="J30" s="180"/>
      <c r="K30" s="180"/>
      <c r="L30" s="180"/>
      <c r="M30" s="180"/>
      <c r="N30" s="180"/>
      <c r="O30" s="180"/>
    </row>
    <row r="31" spans="2:15" ht="15">
      <c r="B31" s="71" t="s">
        <v>674</v>
      </c>
      <c r="C31" s="180">
        <v>136.61737199999999</v>
      </c>
      <c r="D31" s="180">
        <v>141.17128439999999</v>
      </c>
      <c r="E31" s="180">
        <v>136.61737199999999</v>
      </c>
      <c r="F31" s="180">
        <v>141.17128439999999</v>
      </c>
      <c r="G31" s="180">
        <v>141.17128439999999</v>
      </c>
      <c r="H31" s="180">
        <v>136.61737199999999</v>
      </c>
      <c r="I31" s="180">
        <v>141.17128439999999</v>
      </c>
      <c r="J31" s="180">
        <v>136.61737199999999</v>
      </c>
      <c r="K31" s="180">
        <v>141.17128439999999</v>
      </c>
      <c r="L31" s="180">
        <v>141.17128439999999</v>
      </c>
      <c r="M31" s="180">
        <v>127.5095472</v>
      </c>
      <c r="N31" s="180">
        <v>141.17128439999999</v>
      </c>
      <c r="O31" s="180">
        <f>SUM(C31:N31)</f>
        <v>1662.178026</v>
      </c>
    </row>
    <row r="32" spans="2:15">
      <c r="B32" s="43"/>
      <c r="C32" s="175"/>
      <c r="D32" s="175"/>
      <c r="E32" s="175"/>
      <c r="F32" s="175"/>
      <c r="G32" s="175"/>
      <c r="H32" s="175"/>
      <c r="I32" s="175"/>
      <c r="J32" s="175"/>
      <c r="K32" s="175"/>
      <c r="L32" s="175"/>
      <c r="M32" s="175"/>
      <c r="N32" s="175"/>
      <c r="O32" s="175"/>
    </row>
    <row r="33" spans="2:15" ht="15">
      <c r="B33" s="45" t="s">
        <v>78</v>
      </c>
      <c r="C33" s="166">
        <v>463.89600000000002</v>
      </c>
      <c r="D33" s="166">
        <v>479.35919999999999</v>
      </c>
      <c r="E33" s="166">
        <v>463.89600000000002</v>
      </c>
      <c r="F33" s="166">
        <v>479.35919999999999</v>
      </c>
      <c r="G33" s="166">
        <v>479.35919999999999</v>
      </c>
      <c r="H33" s="166">
        <v>463.89600000000002</v>
      </c>
      <c r="I33" s="166">
        <v>479.35919999999999</v>
      </c>
      <c r="J33" s="166">
        <v>463.89600000000002</v>
      </c>
      <c r="K33" s="166">
        <v>479.35919999999999</v>
      </c>
      <c r="L33" s="166">
        <v>479.35919999999999</v>
      </c>
      <c r="M33" s="166">
        <v>432.96960000000001</v>
      </c>
      <c r="N33" s="166">
        <v>479.35919999999999</v>
      </c>
      <c r="O33" s="166">
        <f t="shared" ref="O33" si="3">O29+O31</f>
        <v>5644.0680000000002</v>
      </c>
    </row>
    <row r="36" spans="2:15" ht="15">
      <c r="B36" s="29" t="s">
        <v>671</v>
      </c>
      <c r="C36" s="72"/>
      <c r="D36" s="72"/>
      <c r="E36" s="72"/>
      <c r="F36" s="72"/>
      <c r="G36" s="72"/>
      <c r="H36" s="72"/>
      <c r="I36" s="41"/>
    </row>
    <row r="37" spans="2:15" ht="15">
      <c r="B37" s="29" t="s">
        <v>8</v>
      </c>
      <c r="C37" s="30"/>
      <c r="D37" s="30"/>
      <c r="O37" s="30" t="s">
        <v>79</v>
      </c>
    </row>
    <row r="38" spans="2:15" ht="15">
      <c r="B38" s="36" t="s">
        <v>553</v>
      </c>
      <c r="C38" s="36" t="s">
        <v>80</v>
      </c>
      <c r="D38" s="36" t="s">
        <v>81</v>
      </c>
      <c r="E38" s="323" t="s">
        <v>82</v>
      </c>
      <c r="F38" s="323" t="s">
        <v>83</v>
      </c>
      <c r="G38" s="323" t="s">
        <v>84</v>
      </c>
      <c r="H38" s="323" t="s">
        <v>85</v>
      </c>
      <c r="I38" s="323" t="s">
        <v>86</v>
      </c>
      <c r="J38" s="323" t="s">
        <v>87</v>
      </c>
      <c r="K38" s="323" t="s">
        <v>88</v>
      </c>
      <c r="L38" s="323" t="s">
        <v>89</v>
      </c>
      <c r="M38" s="323" t="s">
        <v>90</v>
      </c>
      <c r="N38" s="323" t="s">
        <v>91</v>
      </c>
      <c r="O38" s="323" t="s">
        <v>78</v>
      </c>
    </row>
    <row r="39" spans="2:15" ht="15">
      <c r="B39" s="71" t="s">
        <v>673</v>
      </c>
      <c r="C39" s="180">
        <v>346.53031200000009</v>
      </c>
      <c r="D39" s="180">
        <v>358.08132240000003</v>
      </c>
      <c r="E39" s="180">
        <v>346.53031200000009</v>
      </c>
      <c r="F39" s="180">
        <v>173.26515600000005</v>
      </c>
      <c r="G39" s="180">
        <v>311.87728080000005</v>
      </c>
      <c r="H39" s="180">
        <v>346.53031200000009</v>
      </c>
      <c r="I39" s="180">
        <v>358.08132240000003</v>
      </c>
      <c r="J39" s="180">
        <v>346.53031200000009</v>
      </c>
      <c r="K39" s="180">
        <v>358.08132240000003</v>
      </c>
      <c r="L39" s="180">
        <v>358.08132240000003</v>
      </c>
      <c r="M39" s="180">
        <v>334.97930159999999</v>
      </c>
      <c r="N39" s="180">
        <v>358.08132240000003</v>
      </c>
      <c r="O39" s="180">
        <f>SUM(C39:N39)</f>
        <v>3996.6495984000003</v>
      </c>
    </row>
    <row r="40" spans="2:15" ht="15">
      <c r="B40" s="71"/>
      <c r="C40" s="180"/>
      <c r="D40" s="180"/>
      <c r="E40" s="180"/>
      <c r="F40" s="180"/>
      <c r="G40" s="180"/>
      <c r="H40" s="180"/>
      <c r="I40" s="180"/>
      <c r="J40" s="180"/>
      <c r="K40" s="180"/>
      <c r="L40" s="180"/>
      <c r="M40" s="180"/>
      <c r="N40" s="180"/>
      <c r="O40" s="180"/>
    </row>
    <row r="41" spans="2:15" ht="15">
      <c r="B41" s="71" t="s">
        <v>674</v>
      </c>
      <c r="C41" s="180">
        <v>144.65368800000002</v>
      </c>
      <c r="D41" s="180">
        <v>149.4754776</v>
      </c>
      <c r="E41" s="180">
        <v>144.65368800000002</v>
      </c>
      <c r="F41" s="180">
        <v>72.326844000000008</v>
      </c>
      <c r="G41" s="180">
        <v>130.18831920000002</v>
      </c>
      <c r="H41" s="180">
        <v>144.65368800000002</v>
      </c>
      <c r="I41" s="180">
        <v>149.4754776</v>
      </c>
      <c r="J41" s="180">
        <v>144.65368800000002</v>
      </c>
      <c r="K41" s="180">
        <v>149.4754776</v>
      </c>
      <c r="L41" s="180">
        <v>149.4754776</v>
      </c>
      <c r="M41" s="180">
        <v>139.8318984</v>
      </c>
      <c r="N41" s="180">
        <v>149.4754776</v>
      </c>
      <c r="O41" s="180">
        <f>SUM(C41:N41)</f>
        <v>1668.3392016</v>
      </c>
    </row>
    <row r="42" spans="2:15">
      <c r="B42" s="43"/>
      <c r="C42" s="175"/>
      <c r="D42" s="175"/>
      <c r="E42" s="175"/>
      <c r="F42" s="175"/>
      <c r="G42" s="175"/>
      <c r="H42" s="175"/>
      <c r="I42" s="175"/>
      <c r="J42" s="175"/>
      <c r="K42" s="175"/>
      <c r="L42" s="175"/>
      <c r="M42" s="175"/>
      <c r="N42" s="175"/>
      <c r="O42" s="175"/>
    </row>
    <row r="43" spans="2:15" ht="15">
      <c r="B43" s="45" t="s">
        <v>78</v>
      </c>
      <c r="C43" s="166">
        <v>491.18400000000008</v>
      </c>
      <c r="D43" s="166">
        <v>507.55680000000007</v>
      </c>
      <c r="E43" s="166">
        <v>491.18400000000008</v>
      </c>
      <c r="F43" s="166">
        <v>245.59200000000004</v>
      </c>
      <c r="G43" s="166">
        <v>442.06560000000007</v>
      </c>
      <c r="H43" s="166">
        <v>491.18400000000008</v>
      </c>
      <c r="I43" s="166">
        <v>507.55680000000007</v>
      </c>
      <c r="J43" s="166">
        <v>491.18400000000008</v>
      </c>
      <c r="K43" s="166">
        <v>507.55680000000007</v>
      </c>
      <c r="L43" s="166">
        <v>507.55680000000007</v>
      </c>
      <c r="M43" s="166">
        <v>474.81119999999999</v>
      </c>
      <c r="N43" s="166">
        <v>507.55680000000007</v>
      </c>
      <c r="O43" s="166">
        <f t="shared" ref="O43" si="4">O39+O41</f>
        <v>5664.9888000000001</v>
      </c>
    </row>
    <row r="46" spans="2:15" ht="15">
      <c r="B46" s="29" t="s">
        <v>672</v>
      </c>
      <c r="C46" s="72"/>
      <c r="D46" s="72"/>
      <c r="E46" s="72"/>
      <c r="F46" s="72"/>
      <c r="G46" s="72"/>
      <c r="H46" s="72"/>
      <c r="I46" s="41"/>
    </row>
    <row r="47" spans="2:15" ht="15">
      <c r="B47" s="29" t="s">
        <v>8</v>
      </c>
      <c r="C47" s="30"/>
      <c r="D47" s="30"/>
      <c r="O47" s="30" t="s">
        <v>79</v>
      </c>
    </row>
    <row r="48" spans="2:15" ht="15">
      <c r="B48" s="36" t="s">
        <v>553</v>
      </c>
      <c r="C48" s="36" t="s">
        <v>80</v>
      </c>
      <c r="D48" s="36" t="s">
        <v>81</v>
      </c>
      <c r="E48" s="323" t="s">
        <v>82</v>
      </c>
      <c r="F48" s="323" t="s">
        <v>83</v>
      </c>
      <c r="G48" s="323" t="s">
        <v>84</v>
      </c>
      <c r="H48" s="323" t="s">
        <v>85</v>
      </c>
      <c r="I48" s="323" t="s">
        <v>86</v>
      </c>
      <c r="J48" s="323" t="s">
        <v>87</v>
      </c>
      <c r="K48" s="323" t="s">
        <v>88</v>
      </c>
      <c r="L48" s="323" t="s">
        <v>89</v>
      </c>
      <c r="M48" s="323" t="s">
        <v>90</v>
      </c>
      <c r="N48" s="323" t="s">
        <v>91</v>
      </c>
      <c r="O48" s="323" t="s">
        <v>78</v>
      </c>
    </row>
    <row r="49" spans="2:15" ht="15">
      <c r="B49" s="71" t="s">
        <v>673</v>
      </c>
      <c r="C49" s="180">
        <v>327.27862800000003</v>
      </c>
      <c r="D49" s="180">
        <v>338.1879156</v>
      </c>
      <c r="E49" s="180">
        <v>327.27862800000003</v>
      </c>
      <c r="F49" s="180">
        <v>338.1879156</v>
      </c>
      <c r="G49" s="180">
        <v>338.1879156</v>
      </c>
      <c r="H49" s="180">
        <v>327.27862800000003</v>
      </c>
      <c r="I49" s="180">
        <v>338.1879156</v>
      </c>
      <c r="J49" s="180">
        <v>327.27862800000003</v>
      </c>
      <c r="K49" s="180">
        <v>338.1879156</v>
      </c>
      <c r="L49" s="180">
        <v>338.1879156</v>
      </c>
      <c r="M49" s="180">
        <v>305.46005280000003</v>
      </c>
      <c r="N49" s="180">
        <v>338.1879156</v>
      </c>
      <c r="O49" s="180">
        <f>SUM(C49:N49)</f>
        <v>3981.8899740000002</v>
      </c>
    </row>
    <row r="50" spans="2:15" ht="15">
      <c r="B50" s="71"/>
      <c r="C50" s="180"/>
      <c r="D50" s="180"/>
      <c r="E50" s="180"/>
      <c r="F50" s="180"/>
      <c r="G50" s="180"/>
      <c r="H50" s="180"/>
      <c r="I50" s="180"/>
      <c r="J50" s="180"/>
      <c r="K50" s="180"/>
      <c r="L50" s="180"/>
      <c r="M50" s="180"/>
      <c r="N50" s="180"/>
      <c r="O50" s="180"/>
    </row>
    <row r="51" spans="2:15" ht="15">
      <c r="B51" s="71" t="s">
        <v>674</v>
      </c>
      <c r="C51" s="180">
        <v>136.61737199999999</v>
      </c>
      <c r="D51" s="180">
        <v>141.17128439999999</v>
      </c>
      <c r="E51" s="180">
        <v>136.61737199999999</v>
      </c>
      <c r="F51" s="180">
        <v>141.17128439999999</v>
      </c>
      <c r="G51" s="180">
        <v>141.17128439999999</v>
      </c>
      <c r="H51" s="180">
        <v>136.61737199999999</v>
      </c>
      <c r="I51" s="180">
        <v>141.17128439999999</v>
      </c>
      <c r="J51" s="180">
        <v>136.61737199999999</v>
      </c>
      <c r="K51" s="180">
        <v>141.17128439999999</v>
      </c>
      <c r="L51" s="180">
        <v>141.17128439999999</v>
      </c>
      <c r="M51" s="180">
        <v>127.5095472</v>
      </c>
      <c r="N51" s="180">
        <v>141.17128439999999</v>
      </c>
      <c r="O51" s="180">
        <f>SUM(C51:N51)</f>
        <v>1662.178026</v>
      </c>
    </row>
    <row r="52" spans="2:15">
      <c r="B52" s="43"/>
      <c r="C52" s="175"/>
      <c r="D52" s="175"/>
      <c r="E52" s="175"/>
      <c r="F52" s="175"/>
      <c r="G52" s="175"/>
      <c r="H52" s="175"/>
      <c r="I52" s="175"/>
      <c r="J52" s="175"/>
      <c r="K52" s="175"/>
      <c r="L52" s="175"/>
      <c r="M52" s="175"/>
      <c r="N52" s="175"/>
      <c r="O52" s="175"/>
    </row>
    <row r="53" spans="2:15" ht="15">
      <c r="B53" s="45" t="s">
        <v>78</v>
      </c>
      <c r="C53" s="166">
        <v>463.89600000000002</v>
      </c>
      <c r="D53" s="166">
        <v>479.35919999999999</v>
      </c>
      <c r="E53" s="166">
        <v>463.89600000000002</v>
      </c>
      <c r="F53" s="166">
        <v>479.35919999999999</v>
      </c>
      <c r="G53" s="166">
        <v>479.35919999999999</v>
      </c>
      <c r="H53" s="166">
        <v>463.89600000000002</v>
      </c>
      <c r="I53" s="166">
        <v>479.35919999999999</v>
      </c>
      <c r="J53" s="166">
        <v>463.89600000000002</v>
      </c>
      <c r="K53" s="166">
        <v>479.35919999999999</v>
      </c>
      <c r="L53" s="166">
        <v>479.35919999999999</v>
      </c>
      <c r="M53" s="166">
        <v>432.96960000000001</v>
      </c>
      <c r="N53" s="166">
        <v>479.35919999999999</v>
      </c>
      <c r="O53" s="166">
        <f t="shared" ref="O53" si="5">O49+O51</f>
        <v>5644.0680000000002</v>
      </c>
    </row>
  </sheetData>
  <mergeCells count="6">
    <mergeCell ref="B17:B18"/>
    <mergeCell ref="B2:O2"/>
    <mergeCell ref="B3:O3"/>
    <mergeCell ref="B4:O4"/>
    <mergeCell ref="C17:E17"/>
    <mergeCell ref="F17:N17"/>
  </mergeCells>
  <pageMargins left="0.95" right="0.2" top="0.5" bottom="0.5" header="0.3" footer="0.3"/>
  <pageSetup paperSize="9" scale="69" orientation="landscape" r:id="rId1"/>
</worksheet>
</file>

<file path=xl/worksheets/sheet19.xml><?xml version="1.0" encoding="utf-8"?>
<worksheet xmlns="http://schemas.openxmlformats.org/spreadsheetml/2006/main" xmlns:r="http://schemas.openxmlformats.org/officeDocument/2006/relationships">
  <sheetPr>
    <pageSetUpPr fitToPage="1"/>
  </sheetPr>
  <dimension ref="B1:N19"/>
  <sheetViews>
    <sheetView topLeftCell="A8" workbookViewId="0">
      <selection activeCell="L24" sqref="L24"/>
    </sheetView>
  </sheetViews>
  <sheetFormatPr defaultColWidth="9.28515625" defaultRowHeight="14.25"/>
  <cols>
    <col min="1" max="1" width="3.28515625" style="18" customWidth="1"/>
    <col min="2" max="2" width="19.28515625" style="18" customWidth="1"/>
    <col min="3" max="3" width="12.7109375" style="18" customWidth="1"/>
    <col min="4" max="4" width="10.140625" style="18" customWidth="1"/>
    <col min="5" max="5" width="14.42578125" style="18" customWidth="1"/>
    <col min="6" max="6" width="13.140625" style="18" customWidth="1"/>
    <col min="7" max="7" width="8.42578125" style="18" customWidth="1"/>
    <col min="8" max="8" width="9.7109375" style="18" customWidth="1"/>
    <col min="9" max="9" width="9.28515625" style="18" customWidth="1"/>
    <col min="10" max="10" width="13.28515625" style="18" customWidth="1"/>
    <col min="11" max="11" width="13.85546875" style="18" customWidth="1"/>
    <col min="12" max="12" width="14.85546875" style="18" customWidth="1"/>
    <col min="13" max="13" width="11" style="18" customWidth="1"/>
    <col min="14" max="14" width="7.42578125" style="18" customWidth="1"/>
    <col min="15" max="16384" width="9.28515625" style="18"/>
  </cols>
  <sheetData>
    <row r="1" spans="2:14" s="5" customFormat="1" ht="15">
      <c r="B1" s="322"/>
    </row>
    <row r="2" spans="2:14" s="5" customFormat="1" ht="15" customHeight="1">
      <c r="B2" s="42"/>
      <c r="C2" s="42"/>
      <c r="D2" s="42"/>
      <c r="E2" s="42"/>
      <c r="F2" s="42"/>
      <c r="G2" s="42"/>
      <c r="H2" s="39" t="str">
        <f>[1]F1!J2</f>
        <v>TGGENCO</v>
      </c>
      <c r="I2" s="42"/>
      <c r="J2" s="42"/>
      <c r="K2" s="42"/>
      <c r="L2" s="42"/>
      <c r="M2" s="42"/>
      <c r="N2" s="42"/>
    </row>
    <row r="3" spans="2:14" s="5" customFormat="1" ht="15" customHeight="1">
      <c r="B3" s="42"/>
      <c r="C3" s="42"/>
      <c r="D3" s="42"/>
      <c r="E3" s="42"/>
      <c r="F3" s="42"/>
      <c r="G3" s="42"/>
      <c r="H3" s="39" t="str">
        <f>[1]F1!J3</f>
        <v>Consolidated</v>
      </c>
      <c r="I3" s="42"/>
      <c r="J3" s="42"/>
      <c r="K3" s="42"/>
      <c r="L3" s="42"/>
      <c r="M3" s="42"/>
      <c r="N3" s="42"/>
    </row>
    <row r="4" spans="2:14" ht="15">
      <c r="H4" s="41" t="s">
        <v>1028</v>
      </c>
    </row>
    <row r="5" spans="2:14" ht="15">
      <c r="B5" s="29" t="s">
        <v>668</v>
      </c>
    </row>
    <row r="6" spans="2:14" ht="15">
      <c r="B6" s="29" t="s">
        <v>12</v>
      </c>
      <c r="M6" s="636" t="s">
        <v>1032</v>
      </c>
      <c r="N6" s="636"/>
    </row>
    <row r="7" spans="2:14" s="428" customFormat="1" ht="54.75" customHeight="1">
      <c r="B7" s="551" t="s">
        <v>553</v>
      </c>
      <c r="C7" s="542" t="s">
        <v>993</v>
      </c>
      <c r="D7" s="542"/>
      <c r="E7" s="542"/>
      <c r="F7" s="542"/>
      <c r="G7" s="541" t="s">
        <v>994</v>
      </c>
      <c r="H7" s="541"/>
      <c r="I7" s="541"/>
      <c r="J7" s="541" t="s">
        <v>995</v>
      </c>
      <c r="K7" s="541"/>
      <c r="L7" s="541"/>
      <c r="M7" s="541"/>
      <c r="N7" s="541"/>
    </row>
    <row r="8" spans="2:14" s="439" customFormat="1" ht="72.75" customHeight="1">
      <c r="B8" s="635"/>
      <c r="C8" s="440" t="s">
        <v>996</v>
      </c>
      <c r="D8" s="440" t="s">
        <v>997</v>
      </c>
      <c r="E8" s="440" t="s">
        <v>998</v>
      </c>
      <c r="F8" s="440" t="s">
        <v>999</v>
      </c>
      <c r="G8" s="440" t="s">
        <v>1000</v>
      </c>
      <c r="H8" s="440" t="s">
        <v>1001</v>
      </c>
      <c r="I8" s="440" t="s">
        <v>1002</v>
      </c>
      <c r="J8" s="440" t="s">
        <v>1003</v>
      </c>
      <c r="K8" s="440" t="s">
        <v>1004</v>
      </c>
      <c r="L8" s="440" t="s">
        <v>1005</v>
      </c>
      <c r="M8" s="440" t="s">
        <v>1006</v>
      </c>
      <c r="N8" s="440" t="s">
        <v>78</v>
      </c>
    </row>
    <row r="9" spans="2:14" ht="15">
      <c r="B9" s="2"/>
      <c r="C9" s="36"/>
      <c r="D9" s="36"/>
      <c r="E9" s="36"/>
      <c r="F9" s="36"/>
      <c r="G9" s="36"/>
      <c r="H9" s="36"/>
      <c r="I9" s="36"/>
      <c r="J9" s="36"/>
      <c r="K9" s="36"/>
      <c r="L9" s="36"/>
      <c r="M9" s="36"/>
      <c r="N9" s="28"/>
    </row>
    <row r="10" spans="2:14" ht="45" customHeight="1">
      <c r="B10" s="71" t="s">
        <v>1029</v>
      </c>
      <c r="C10" s="3"/>
      <c r="D10" s="3"/>
      <c r="E10" s="3"/>
      <c r="F10" s="3"/>
      <c r="G10" s="3"/>
      <c r="H10" s="3"/>
      <c r="I10" s="3"/>
      <c r="J10" s="3">
        <v>38.82</v>
      </c>
      <c r="K10" s="3">
        <v>54.71</v>
      </c>
      <c r="L10" s="3">
        <v>14.05</v>
      </c>
      <c r="M10" s="3">
        <v>10.76</v>
      </c>
      <c r="N10" s="3">
        <v>118.34</v>
      </c>
    </row>
    <row r="11" spans="2:14" ht="15">
      <c r="B11" s="71"/>
      <c r="C11" s="3"/>
      <c r="D11" s="3"/>
      <c r="E11" s="3"/>
      <c r="F11" s="3"/>
      <c r="G11" s="3"/>
      <c r="H11" s="3"/>
      <c r="I11" s="3"/>
      <c r="J11" s="3"/>
      <c r="K11" s="3"/>
      <c r="L11" s="3"/>
      <c r="M11" s="3"/>
      <c r="N11" s="3"/>
    </row>
    <row r="12" spans="2:14" ht="42.75" customHeight="1">
      <c r="B12" s="71" t="s">
        <v>1030</v>
      </c>
      <c r="C12" s="3"/>
      <c r="D12" s="3"/>
      <c r="E12" s="3"/>
      <c r="F12" s="3"/>
      <c r="G12" s="3"/>
      <c r="H12" s="3"/>
      <c r="I12" s="3"/>
      <c r="J12" s="3">
        <v>16.21</v>
      </c>
      <c r="K12" s="3">
        <v>22.84</v>
      </c>
      <c r="L12" s="3">
        <v>5.87</v>
      </c>
      <c r="M12" s="3">
        <v>4.49</v>
      </c>
      <c r="N12" s="3">
        <v>49.4</v>
      </c>
    </row>
    <row r="13" spans="2:14">
      <c r="B13" s="43"/>
      <c r="C13" s="3"/>
      <c r="D13" s="3"/>
      <c r="E13" s="3"/>
      <c r="F13" s="3"/>
      <c r="G13" s="3"/>
      <c r="H13" s="3"/>
      <c r="I13" s="3"/>
      <c r="J13" s="3"/>
      <c r="K13" s="3"/>
      <c r="L13" s="3"/>
      <c r="M13" s="3"/>
      <c r="N13" s="3"/>
    </row>
    <row r="14" spans="2:14" ht="15">
      <c r="B14" s="71"/>
      <c r="C14" s="3"/>
      <c r="D14" s="3"/>
      <c r="E14" s="3"/>
      <c r="F14" s="3"/>
      <c r="G14" s="3"/>
      <c r="H14" s="3"/>
      <c r="I14" s="3"/>
      <c r="J14" s="3"/>
      <c r="K14" s="3"/>
      <c r="L14" s="3"/>
      <c r="M14" s="3"/>
      <c r="N14" s="3"/>
    </row>
    <row r="15" spans="2:14">
      <c r="B15" s="69"/>
      <c r="C15" s="3"/>
      <c r="D15" s="3"/>
      <c r="E15" s="3"/>
      <c r="F15" s="3"/>
      <c r="G15" s="3"/>
      <c r="H15" s="3"/>
      <c r="I15" s="3"/>
      <c r="J15" s="3"/>
      <c r="K15" s="3"/>
      <c r="L15" s="3"/>
      <c r="M15" s="3"/>
      <c r="N15" s="3"/>
    </row>
    <row r="16" spans="2:14" ht="15">
      <c r="B16" s="71" t="s">
        <v>9</v>
      </c>
      <c r="C16" s="3"/>
      <c r="D16" s="3"/>
      <c r="E16" s="3"/>
      <c r="F16" s="3"/>
      <c r="G16" s="3"/>
      <c r="H16" s="3"/>
      <c r="I16" s="3"/>
      <c r="J16" s="3"/>
      <c r="K16" s="3"/>
      <c r="L16" s="3"/>
      <c r="M16" s="3"/>
      <c r="N16" s="3"/>
    </row>
    <row r="17" spans="2:14">
      <c r="B17" s="3"/>
      <c r="C17" s="3"/>
      <c r="D17" s="3"/>
      <c r="E17" s="3"/>
      <c r="F17" s="3"/>
      <c r="G17" s="3"/>
      <c r="H17" s="3"/>
      <c r="I17" s="3"/>
      <c r="J17" s="3"/>
      <c r="K17" s="3"/>
      <c r="L17" s="3"/>
      <c r="M17" s="3"/>
      <c r="N17" s="3"/>
    </row>
    <row r="18" spans="2:14" ht="15">
      <c r="B18" s="71" t="s">
        <v>78</v>
      </c>
      <c r="C18" s="165">
        <f>C10+C12+C14</f>
        <v>0</v>
      </c>
      <c r="D18" s="165">
        <f>D10+D12+D14</f>
        <v>0</v>
      </c>
      <c r="E18" s="165">
        <f>E10+E12+E14</f>
        <v>0</v>
      </c>
      <c r="F18" s="165">
        <f>F10+F12+F14</f>
        <v>0</v>
      </c>
      <c r="G18" s="165">
        <f>G10+G12+G14</f>
        <v>0</v>
      </c>
      <c r="H18" s="3"/>
      <c r="I18" s="3"/>
      <c r="J18" s="165">
        <f>J10+J12+J14</f>
        <v>55.03</v>
      </c>
      <c r="K18" s="165">
        <f>K10+K12+K14</f>
        <v>77.55</v>
      </c>
      <c r="L18" s="165">
        <f>L10+L12+L14</f>
        <v>19.920000000000002</v>
      </c>
      <c r="M18" s="165">
        <f>M10+M12+M14</f>
        <v>15.25</v>
      </c>
      <c r="N18" s="165">
        <f>N10+N12+N14</f>
        <v>167.74</v>
      </c>
    </row>
    <row r="19" spans="2:14" ht="15">
      <c r="B19" s="42"/>
    </row>
  </sheetData>
  <mergeCells count="5">
    <mergeCell ref="B7:B8"/>
    <mergeCell ref="C7:F7"/>
    <mergeCell ref="G7:I7"/>
    <mergeCell ref="J7:N7"/>
    <mergeCell ref="M6:N6"/>
  </mergeCells>
  <pageMargins left="0.2" right="0.2" top="0.75" bottom="0.75" header="0.3" footer="0.3"/>
  <pageSetup paperSize="9" scale="91"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B2:O41"/>
  <sheetViews>
    <sheetView showGridLines="0" zoomScale="80" zoomScaleNormal="80" zoomScaleSheetLayoutView="80" workbookViewId="0">
      <selection activeCell="L24" sqref="L24"/>
    </sheetView>
  </sheetViews>
  <sheetFormatPr defaultColWidth="9.28515625" defaultRowHeight="15"/>
  <cols>
    <col min="1" max="1" width="6.28515625" style="6" customWidth="1"/>
    <col min="2" max="2" width="9.28515625" style="6" customWidth="1"/>
    <col min="3" max="3" width="16.28515625" style="6" customWidth="1"/>
    <col min="4" max="4" width="75.7109375" style="6" customWidth="1"/>
    <col min="5" max="5" width="17.7109375" style="6" customWidth="1"/>
    <col min="6" max="6" width="20.7109375" style="6" customWidth="1"/>
    <col min="7" max="15" width="18.7109375" style="6" customWidth="1"/>
    <col min="16" max="16384" width="9.28515625" style="6"/>
  </cols>
  <sheetData>
    <row r="2" spans="2:15">
      <c r="B2" s="39"/>
      <c r="C2" s="39"/>
      <c r="D2" s="39" t="s">
        <v>678</v>
      </c>
      <c r="E2" s="39"/>
      <c r="F2" s="1"/>
      <c r="G2" s="1"/>
      <c r="H2" s="1"/>
      <c r="I2" s="1"/>
      <c r="J2" s="1"/>
      <c r="K2" s="1"/>
      <c r="L2" s="1"/>
      <c r="M2" s="1"/>
      <c r="N2" s="1"/>
      <c r="O2" s="1"/>
    </row>
    <row r="3" spans="2:15">
      <c r="B3" s="39"/>
      <c r="C3" s="39"/>
      <c r="D3" s="39" t="s">
        <v>948</v>
      </c>
      <c r="E3" s="39"/>
      <c r="F3" s="1"/>
      <c r="G3" s="1"/>
      <c r="H3" s="1"/>
      <c r="I3" s="1"/>
      <c r="J3" s="1"/>
      <c r="K3" s="1"/>
      <c r="L3" s="1"/>
      <c r="M3" s="1"/>
      <c r="N3" s="1"/>
      <c r="O3" s="1"/>
    </row>
    <row r="4" spans="2:15" s="14" customFormat="1" ht="15.75">
      <c r="B4" s="539" t="s">
        <v>578</v>
      </c>
      <c r="C4" s="539"/>
      <c r="D4" s="540"/>
      <c r="E4" s="540"/>
      <c r="F4" s="1"/>
      <c r="G4" s="1"/>
      <c r="H4" s="1"/>
      <c r="I4" s="1"/>
      <c r="J4" s="1"/>
      <c r="K4" s="1"/>
      <c r="L4" s="1"/>
      <c r="M4" s="1"/>
      <c r="N4" s="1"/>
      <c r="O4" s="1"/>
    </row>
    <row r="5" spans="2:15" ht="15.75">
      <c r="D5" s="68" t="s">
        <v>580</v>
      </c>
    </row>
    <row r="6" spans="2:15" ht="15.75">
      <c r="N6" s="7"/>
    </row>
    <row r="7" spans="2:15" ht="15.75">
      <c r="B7" s="16" t="s">
        <v>360</v>
      </c>
      <c r="C7" s="16" t="s">
        <v>579</v>
      </c>
      <c r="D7" s="17" t="s">
        <v>7</v>
      </c>
      <c r="E7" s="17" t="s">
        <v>581</v>
      </c>
    </row>
    <row r="8" spans="2:15">
      <c r="B8" s="8">
        <v>1</v>
      </c>
      <c r="C8" s="8" t="s">
        <v>6</v>
      </c>
      <c r="D8" s="9" t="s">
        <v>584</v>
      </c>
      <c r="E8" s="537" t="s">
        <v>1109</v>
      </c>
    </row>
    <row r="9" spans="2:15">
      <c r="B9" s="8">
        <f>B8+1</f>
        <v>2</v>
      </c>
      <c r="C9" s="8" t="s">
        <v>451</v>
      </c>
      <c r="D9" s="9" t="s">
        <v>586</v>
      </c>
      <c r="E9" s="537" t="s">
        <v>1109</v>
      </c>
    </row>
    <row r="10" spans="2:15">
      <c r="B10" s="8">
        <f>B9+1</f>
        <v>3</v>
      </c>
      <c r="C10" s="8" t="s">
        <v>20</v>
      </c>
      <c r="D10" s="9" t="s">
        <v>587</v>
      </c>
      <c r="E10" s="537" t="s">
        <v>1109</v>
      </c>
    </row>
    <row r="11" spans="2:15">
      <c r="B11" s="8">
        <f>B10+1</f>
        <v>4</v>
      </c>
      <c r="C11" s="8" t="s">
        <v>21</v>
      </c>
      <c r="D11" s="9" t="s">
        <v>588</v>
      </c>
      <c r="E11" s="537" t="s">
        <v>1109</v>
      </c>
      <c r="H11" s="536" t="s">
        <v>1109</v>
      </c>
    </row>
    <row r="12" spans="2:15">
      <c r="B12" s="8">
        <f>B11+1</f>
        <v>5</v>
      </c>
      <c r="C12" s="8" t="s">
        <v>452</v>
      </c>
      <c r="D12" s="9" t="s">
        <v>589</v>
      </c>
      <c r="E12" s="537" t="s">
        <v>1109</v>
      </c>
    </row>
    <row r="13" spans="2:15">
      <c r="B13" s="8">
        <f t="shared" ref="B13:B39" si="0">B12+1</f>
        <v>6</v>
      </c>
      <c r="C13" s="8" t="s">
        <v>18</v>
      </c>
      <c r="D13" s="9" t="s">
        <v>381</v>
      </c>
      <c r="E13" s="537" t="s">
        <v>1109</v>
      </c>
    </row>
    <row r="14" spans="2:15">
      <c r="B14" s="8">
        <f t="shared" si="0"/>
        <v>7</v>
      </c>
      <c r="C14" s="8" t="s">
        <v>23</v>
      </c>
      <c r="D14" s="9" t="s">
        <v>590</v>
      </c>
      <c r="E14" s="537" t="s">
        <v>1109</v>
      </c>
    </row>
    <row r="15" spans="2:15">
      <c r="B15" s="8">
        <f t="shared" si="0"/>
        <v>8</v>
      </c>
      <c r="C15" s="8" t="s">
        <v>24</v>
      </c>
      <c r="D15" s="10" t="s">
        <v>358</v>
      </c>
      <c r="E15" s="537" t="s">
        <v>1109</v>
      </c>
    </row>
    <row r="16" spans="2:15">
      <c r="B16" s="8">
        <f t="shared" si="0"/>
        <v>9</v>
      </c>
      <c r="C16" s="8" t="s">
        <v>19</v>
      </c>
      <c r="D16" s="10" t="s">
        <v>591</v>
      </c>
      <c r="E16" s="537" t="s">
        <v>1109</v>
      </c>
    </row>
    <row r="17" spans="2:5">
      <c r="B17" s="8">
        <f t="shared" si="0"/>
        <v>10</v>
      </c>
      <c r="C17" s="8" t="s">
        <v>25</v>
      </c>
      <c r="D17" s="9" t="s">
        <v>414</v>
      </c>
      <c r="E17" s="537" t="s">
        <v>1109</v>
      </c>
    </row>
    <row r="18" spans="2:5">
      <c r="B18" s="8">
        <f t="shared" si="0"/>
        <v>11</v>
      </c>
      <c r="C18" s="8" t="s">
        <v>26</v>
      </c>
      <c r="D18" s="10" t="s">
        <v>468</v>
      </c>
      <c r="E18" s="537" t="s">
        <v>1109</v>
      </c>
    </row>
    <row r="19" spans="2:5">
      <c r="B19" s="8">
        <f t="shared" si="0"/>
        <v>12</v>
      </c>
      <c r="C19" s="8" t="s">
        <v>27</v>
      </c>
      <c r="D19" s="10" t="s">
        <v>415</v>
      </c>
      <c r="E19" s="537" t="s">
        <v>1109</v>
      </c>
    </row>
    <row r="20" spans="2:5">
      <c r="B20" s="8">
        <f t="shared" si="0"/>
        <v>13</v>
      </c>
      <c r="C20" s="8" t="s">
        <v>28</v>
      </c>
      <c r="D20" s="10" t="s">
        <v>95</v>
      </c>
      <c r="E20" s="537" t="s">
        <v>1109</v>
      </c>
    </row>
    <row r="21" spans="2:5">
      <c r="B21" s="8">
        <f t="shared" si="0"/>
        <v>14</v>
      </c>
      <c r="C21" s="8" t="s">
        <v>29</v>
      </c>
      <c r="D21" s="10" t="s">
        <v>22</v>
      </c>
      <c r="E21" s="537" t="s">
        <v>1109</v>
      </c>
    </row>
    <row r="22" spans="2:5">
      <c r="B22" s="8">
        <f t="shared" si="0"/>
        <v>15</v>
      </c>
      <c r="C22" s="8" t="s">
        <v>30</v>
      </c>
      <c r="D22" s="9" t="s">
        <v>592</v>
      </c>
      <c r="E22" s="537" t="s">
        <v>1109</v>
      </c>
    </row>
    <row r="23" spans="2:5">
      <c r="B23" s="8">
        <f t="shared" si="0"/>
        <v>16</v>
      </c>
      <c r="C23" s="8" t="s">
        <v>31</v>
      </c>
      <c r="D23" s="9" t="s">
        <v>593</v>
      </c>
      <c r="E23" s="537" t="s">
        <v>1109</v>
      </c>
    </row>
    <row r="24" spans="2:5">
      <c r="B24" s="8">
        <f t="shared" si="0"/>
        <v>17</v>
      </c>
      <c r="C24" s="8" t="s">
        <v>103</v>
      </c>
      <c r="D24" s="9" t="s">
        <v>418</v>
      </c>
      <c r="E24" s="537" t="s">
        <v>1109</v>
      </c>
    </row>
    <row r="25" spans="2:5">
      <c r="B25" s="8">
        <f t="shared" si="0"/>
        <v>18</v>
      </c>
      <c r="C25" s="8" t="s">
        <v>110</v>
      </c>
      <c r="D25" s="9" t="s">
        <v>594</v>
      </c>
      <c r="E25" s="537" t="s">
        <v>1109</v>
      </c>
    </row>
    <row r="26" spans="2:5">
      <c r="B26" s="8">
        <f t="shared" si="0"/>
        <v>19</v>
      </c>
      <c r="C26" s="8" t="s">
        <v>582</v>
      </c>
      <c r="D26" s="9" t="s">
        <v>409</v>
      </c>
      <c r="E26" s="537" t="s">
        <v>1109</v>
      </c>
    </row>
    <row r="27" spans="2:5">
      <c r="B27" s="8">
        <f t="shared" si="0"/>
        <v>20</v>
      </c>
      <c r="C27" s="8" t="s">
        <v>401</v>
      </c>
      <c r="D27" s="9" t="s">
        <v>595</v>
      </c>
      <c r="E27" s="537" t="s">
        <v>1109</v>
      </c>
    </row>
    <row r="28" spans="2:5">
      <c r="B28" s="8">
        <f t="shared" si="0"/>
        <v>21</v>
      </c>
      <c r="C28" s="8" t="s">
        <v>402</v>
      </c>
      <c r="D28" s="10" t="s">
        <v>596</v>
      </c>
      <c r="E28" s="537"/>
    </row>
    <row r="29" spans="2:5" ht="15.75">
      <c r="B29" s="11"/>
      <c r="C29" s="11"/>
      <c r="D29" s="12" t="s">
        <v>408</v>
      </c>
      <c r="E29" s="13"/>
    </row>
    <row r="30" spans="2:5">
      <c r="B30" s="8">
        <f>B28+1</f>
        <v>22</v>
      </c>
      <c r="C30" s="8" t="s">
        <v>643</v>
      </c>
      <c r="D30" s="9" t="s">
        <v>651</v>
      </c>
      <c r="E30" s="537" t="s">
        <v>1109</v>
      </c>
    </row>
    <row r="31" spans="2:5">
      <c r="B31" s="8">
        <f>B30+1</f>
        <v>23</v>
      </c>
      <c r="C31" s="8" t="s">
        <v>644</v>
      </c>
      <c r="D31" s="9" t="s">
        <v>652</v>
      </c>
      <c r="E31" s="537"/>
    </row>
    <row r="32" spans="2:5">
      <c r="B32" s="8">
        <f>B31+1</f>
        <v>24</v>
      </c>
      <c r="C32" s="8" t="s">
        <v>641</v>
      </c>
      <c r="D32" s="9" t="s">
        <v>353</v>
      </c>
      <c r="E32" s="537" t="s">
        <v>1109</v>
      </c>
    </row>
    <row r="33" spans="2:5">
      <c r="B33" s="8">
        <f t="shared" si="0"/>
        <v>25</v>
      </c>
      <c r="C33" s="8" t="s">
        <v>642</v>
      </c>
      <c r="D33" s="9" t="s">
        <v>354</v>
      </c>
      <c r="E33" s="537" t="s">
        <v>1109</v>
      </c>
    </row>
    <row r="34" spans="2:5">
      <c r="B34" s="8">
        <f t="shared" si="0"/>
        <v>26</v>
      </c>
      <c r="C34" s="8" t="s">
        <v>645</v>
      </c>
      <c r="D34" s="9" t="s">
        <v>355</v>
      </c>
      <c r="E34" s="537" t="s">
        <v>1109</v>
      </c>
    </row>
    <row r="35" spans="2:5">
      <c r="B35" s="8">
        <f t="shared" si="0"/>
        <v>27</v>
      </c>
      <c r="C35" s="8" t="s">
        <v>646</v>
      </c>
      <c r="D35" s="9" t="s">
        <v>356</v>
      </c>
      <c r="E35" s="537" t="s">
        <v>1109</v>
      </c>
    </row>
    <row r="36" spans="2:5">
      <c r="B36" s="8">
        <f t="shared" si="0"/>
        <v>28</v>
      </c>
      <c r="C36" s="8" t="s">
        <v>647</v>
      </c>
      <c r="D36" s="9" t="s">
        <v>363</v>
      </c>
      <c r="E36" s="537" t="s">
        <v>1109</v>
      </c>
    </row>
    <row r="37" spans="2:5">
      <c r="B37" s="8">
        <f t="shared" si="0"/>
        <v>29</v>
      </c>
      <c r="C37" s="8" t="s">
        <v>648</v>
      </c>
      <c r="D37" s="9" t="s">
        <v>357</v>
      </c>
      <c r="E37" s="537" t="s">
        <v>1109</v>
      </c>
    </row>
    <row r="38" spans="2:5">
      <c r="B38" s="8">
        <f t="shared" si="0"/>
        <v>30</v>
      </c>
      <c r="C38" s="8" t="s">
        <v>649</v>
      </c>
      <c r="D38" s="9" t="s">
        <v>597</v>
      </c>
      <c r="E38" s="537" t="s">
        <v>1109</v>
      </c>
    </row>
    <row r="39" spans="2:5">
      <c r="B39" s="8">
        <f t="shared" si="0"/>
        <v>31</v>
      </c>
      <c r="C39" s="8" t="s">
        <v>650</v>
      </c>
      <c r="D39" s="9" t="s">
        <v>598</v>
      </c>
      <c r="E39" s="537" t="s">
        <v>1109</v>
      </c>
    </row>
    <row r="41" spans="2:5" ht="15.75">
      <c r="B41" s="15" t="s">
        <v>599</v>
      </c>
      <c r="C41" s="15"/>
    </row>
  </sheetData>
  <mergeCells count="1">
    <mergeCell ref="B4:E4"/>
  </mergeCells>
  <phoneticPr fontId="12" type="noConversion"/>
  <pageMargins left="1.05" right="0.23622047244094499" top="0.4" bottom="0.484251969" header="0.23622047244094499" footer="0.23622047244094499"/>
  <pageSetup paperSize="9" scale="88" orientation="landscape" r:id="rId1"/>
  <headerFooter alignWithMargins="0"/>
</worksheet>
</file>

<file path=xl/worksheets/sheet20.xml><?xml version="1.0" encoding="utf-8"?>
<worksheet xmlns="http://schemas.openxmlformats.org/spreadsheetml/2006/main" xmlns:r="http://schemas.openxmlformats.org/officeDocument/2006/relationships">
  <sheetPr>
    <pageSetUpPr fitToPage="1"/>
  </sheetPr>
  <dimension ref="B1:R29"/>
  <sheetViews>
    <sheetView workbookViewId="0">
      <selection activeCell="L24" sqref="L24"/>
    </sheetView>
  </sheetViews>
  <sheetFormatPr defaultColWidth="9.28515625" defaultRowHeight="14.25"/>
  <cols>
    <col min="1" max="1" width="2.42578125" style="18" customWidth="1"/>
    <col min="2" max="2" width="5" style="18" customWidth="1"/>
    <col min="3" max="3" width="40.5703125" style="18" customWidth="1"/>
    <col min="4" max="4" width="13" style="18" customWidth="1"/>
    <col min="5" max="5" width="7.42578125" style="18" customWidth="1"/>
    <col min="6" max="6" width="7.7109375" style="18" customWidth="1"/>
    <col min="7" max="7" width="5.42578125" style="18" customWidth="1"/>
    <col min="8" max="8" width="6" style="18" customWidth="1"/>
    <col min="9" max="9" width="6.85546875" style="18" customWidth="1"/>
    <col min="10" max="10" width="7.7109375" style="18" customWidth="1"/>
    <col min="11" max="12" width="5.85546875" style="18" customWidth="1"/>
    <col min="13" max="13" width="5" style="18" bestFit="1" customWidth="1"/>
    <col min="14" max="14" width="6.85546875" style="18" customWidth="1"/>
    <col min="15" max="15" width="9" style="18" customWidth="1"/>
    <col min="16" max="16" width="8.140625" style="18" customWidth="1"/>
    <col min="17" max="17" width="9.85546875" style="18" customWidth="1"/>
    <col min="18" max="16384" width="9.28515625" style="18"/>
  </cols>
  <sheetData>
    <row r="1" spans="2:18" s="5" customFormat="1" ht="15">
      <c r="B1" s="322"/>
    </row>
    <row r="2" spans="2:18" s="5" customFormat="1" ht="15" customHeight="1"/>
    <row r="3" spans="2:18" s="5" customFormat="1" ht="15" customHeight="1">
      <c r="I3" s="39" t="str">
        <f>[1]F1!J2</f>
        <v>TGGENCO</v>
      </c>
    </row>
    <row r="4" spans="2:18" s="5" customFormat="1" ht="15" customHeight="1">
      <c r="I4" s="39" t="str">
        <f>[1]F1!J3</f>
        <v>Consolidated</v>
      </c>
    </row>
    <row r="5" spans="2:18" ht="15">
      <c r="B5" s="29" t="s">
        <v>668</v>
      </c>
      <c r="I5" s="41" t="s">
        <v>1031</v>
      </c>
    </row>
    <row r="6" spans="2:18" ht="15">
      <c r="B6" s="42" t="s">
        <v>12</v>
      </c>
    </row>
    <row r="7" spans="2:18" ht="30">
      <c r="B7" s="100" t="s">
        <v>360</v>
      </c>
      <c r="C7" s="100" t="s">
        <v>14</v>
      </c>
      <c r="D7" s="100" t="s">
        <v>37</v>
      </c>
      <c r="E7" s="36" t="s">
        <v>80</v>
      </c>
      <c r="F7" s="36" t="s">
        <v>81</v>
      </c>
      <c r="G7" s="323" t="s">
        <v>82</v>
      </c>
      <c r="H7" s="323" t="s">
        <v>83</v>
      </c>
      <c r="I7" s="323" t="s">
        <v>84</v>
      </c>
      <c r="J7" s="323" t="s">
        <v>85</v>
      </c>
      <c r="K7" s="323" t="s">
        <v>86</v>
      </c>
      <c r="L7" s="323" t="s">
        <v>87</v>
      </c>
      <c r="M7" s="323" t="s">
        <v>88</v>
      </c>
      <c r="N7" s="323" t="s">
        <v>89</v>
      </c>
      <c r="O7" s="323" t="s">
        <v>90</v>
      </c>
      <c r="P7" s="323" t="s">
        <v>91</v>
      </c>
      <c r="Q7" s="429" t="s">
        <v>78</v>
      </c>
    </row>
    <row r="8" spans="2:18">
      <c r="B8" s="426">
        <v>1</v>
      </c>
      <c r="C8" s="422" t="s">
        <v>1007</v>
      </c>
      <c r="D8" s="426" t="s">
        <v>40</v>
      </c>
      <c r="E8" s="430"/>
      <c r="F8" s="430"/>
      <c r="G8" s="430"/>
      <c r="H8" s="430"/>
      <c r="I8" s="430"/>
      <c r="J8" s="430"/>
      <c r="K8" s="430"/>
      <c r="L8" s="430"/>
      <c r="M8" s="430"/>
      <c r="N8" s="430">
        <v>85</v>
      </c>
      <c r="O8" s="430">
        <v>85</v>
      </c>
      <c r="P8" s="430">
        <v>85</v>
      </c>
      <c r="Q8" s="430">
        <v>85</v>
      </c>
    </row>
    <row r="9" spans="2:18">
      <c r="B9" s="426">
        <f>B8+1</f>
        <v>2</v>
      </c>
      <c r="C9" s="422" t="s">
        <v>1008</v>
      </c>
      <c r="D9" s="426" t="s">
        <v>40</v>
      </c>
      <c r="E9" s="430"/>
      <c r="F9" s="430"/>
      <c r="G9" s="430"/>
      <c r="H9" s="430"/>
      <c r="I9" s="430"/>
      <c r="J9" s="430"/>
      <c r="K9" s="430"/>
      <c r="L9" s="430"/>
      <c r="M9" s="430"/>
      <c r="N9" s="430"/>
      <c r="O9" s="430"/>
      <c r="P9" s="430"/>
      <c r="Q9" s="101"/>
    </row>
    <row r="10" spans="2:18">
      <c r="B10" s="426">
        <f t="shared" ref="B10:B26" si="0">B9+1</f>
        <v>3</v>
      </c>
      <c r="C10" s="422" t="s">
        <v>1009</v>
      </c>
      <c r="D10" s="426" t="s">
        <v>40</v>
      </c>
      <c r="E10" s="430"/>
      <c r="F10" s="430"/>
      <c r="G10" s="430"/>
      <c r="H10" s="430"/>
      <c r="I10" s="430"/>
      <c r="J10" s="430"/>
      <c r="K10" s="430"/>
      <c r="L10" s="430"/>
      <c r="M10" s="430"/>
      <c r="N10" s="430">
        <v>20.82</v>
      </c>
      <c r="O10" s="430">
        <v>31.44</v>
      </c>
      <c r="P10" s="430">
        <v>20.74</v>
      </c>
      <c r="Q10" s="430">
        <v>20.74</v>
      </c>
    </row>
    <row r="11" spans="2:18">
      <c r="B11" s="426">
        <f t="shared" si="0"/>
        <v>4</v>
      </c>
      <c r="C11" s="422" t="s">
        <v>41</v>
      </c>
      <c r="D11" s="426" t="s">
        <v>40</v>
      </c>
      <c r="E11" s="430"/>
      <c r="F11" s="430"/>
      <c r="G11" s="430"/>
      <c r="H11" s="430"/>
      <c r="I11" s="430"/>
      <c r="J11" s="430"/>
      <c r="K11" s="430"/>
      <c r="L11" s="430"/>
      <c r="M11" s="430"/>
      <c r="N11" s="430">
        <v>85</v>
      </c>
      <c r="O11" s="430">
        <v>85</v>
      </c>
      <c r="P11" s="430">
        <v>85</v>
      </c>
      <c r="Q11" s="430">
        <v>85</v>
      </c>
    </row>
    <row r="12" spans="2:18">
      <c r="B12" s="426">
        <f t="shared" si="0"/>
        <v>5</v>
      </c>
      <c r="C12" s="422" t="s">
        <v>1010</v>
      </c>
      <c r="D12" s="426" t="s">
        <v>40</v>
      </c>
      <c r="E12" s="430"/>
      <c r="F12" s="430"/>
      <c r="G12" s="430"/>
      <c r="H12" s="430"/>
      <c r="I12" s="430"/>
      <c r="J12" s="430"/>
      <c r="K12" s="430"/>
      <c r="L12" s="430"/>
      <c r="M12" s="430"/>
      <c r="N12" s="430">
        <v>81.66</v>
      </c>
      <c r="O12" s="430">
        <v>21.48</v>
      </c>
      <c r="P12" s="430">
        <v>9.15</v>
      </c>
      <c r="Q12" s="430"/>
    </row>
    <row r="13" spans="2:18">
      <c r="B13" s="426">
        <f t="shared" si="0"/>
        <v>6</v>
      </c>
      <c r="C13" s="422" t="s">
        <v>1011</v>
      </c>
      <c r="D13" s="426" t="s">
        <v>40</v>
      </c>
      <c r="E13" s="430"/>
      <c r="F13" s="430"/>
      <c r="G13" s="430"/>
      <c r="H13" s="430"/>
      <c r="I13" s="430"/>
      <c r="J13" s="430"/>
      <c r="K13" s="430"/>
      <c r="L13" s="430"/>
      <c r="M13" s="430"/>
      <c r="N13" s="430">
        <v>81.66</v>
      </c>
      <c r="O13" s="430">
        <v>32.82</v>
      </c>
      <c r="P13" s="430">
        <v>21.91</v>
      </c>
      <c r="Q13" s="430">
        <v>21.91</v>
      </c>
    </row>
    <row r="14" spans="2:18">
      <c r="B14" s="426">
        <f t="shared" si="0"/>
        <v>7</v>
      </c>
      <c r="C14" s="94" t="s">
        <v>1012</v>
      </c>
      <c r="D14" s="102" t="s">
        <v>43</v>
      </c>
      <c r="E14" s="431"/>
      <c r="F14" s="431"/>
      <c r="G14" s="431"/>
      <c r="H14" s="431"/>
      <c r="I14" s="431"/>
      <c r="J14" s="431"/>
      <c r="K14" s="431"/>
      <c r="L14" s="431"/>
      <c r="M14" s="431"/>
      <c r="N14" s="430">
        <v>94.07</v>
      </c>
      <c r="O14" s="430">
        <v>115.48</v>
      </c>
      <c r="P14" s="430">
        <v>54.47</v>
      </c>
      <c r="Q14" s="101">
        <f>SUM(N14:P14)</f>
        <v>264.02</v>
      </c>
    </row>
    <row r="15" spans="2:18">
      <c r="B15" s="426">
        <f t="shared" si="0"/>
        <v>8</v>
      </c>
      <c r="C15" s="94" t="s">
        <v>1013</v>
      </c>
      <c r="D15" s="102" t="s">
        <v>43</v>
      </c>
      <c r="E15" s="431"/>
      <c r="F15" s="431"/>
      <c r="G15" s="431"/>
      <c r="H15" s="431"/>
      <c r="I15" s="431"/>
      <c r="J15" s="431"/>
      <c r="K15" s="431"/>
      <c r="L15" s="431"/>
      <c r="M15" s="431"/>
      <c r="N15" s="430">
        <v>5.5309999999999997</v>
      </c>
      <c r="O15" s="430">
        <v>15.744</v>
      </c>
      <c r="P15" s="430">
        <v>11.956</v>
      </c>
      <c r="Q15" s="101">
        <f>SUM(N15:P15)</f>
        <v>33.230999999999995</v>
      </c>
    </row>
    <row r="16" spans="2:18" ht="15">
      <c r="B16" s="426">
        <f t="shared" si="0"/>
        <v>9</v>
      </c>
      <c r="C16" s="94" t="s">
        <v>1014</v>
      </c>
      <c r="D16" s="102" t="s">
        <v>43</v>
      </c>
      <c r="E16" s="433">
        <f>E14-E15</f>
        <v>0</v>
      </c>
      <c r="F16" s="433">
        <f t="shared" ref="F16:Q16" si="1">F14-F15</f>
        <v>0</v>
      </c>
      <c r="G16" s="433">
        <f t="shared" si="1"/>
        <v>0</v>
      </c>
      <c r="H16" s="433">
        <f t="shared" si="1"/>
        <v>0</v>
      </c>
      <c r="I16" s="433">
        <f t="shared" si="1"/>
        <v>0</v>
      </c>
      <c r="J16" s="433">
        <f t="shared" si="1"/>
        <v>0</v>
      </c>
      <c r="K16" s="433">
        <f t="shared" si="1"/>
        <v>0</v>
      </c>
      <c r="L16" s="433">
        <f t="shared" si="1"/>
        <v>0</v>
      </c>
      <c r="M16" s="433">
        <f t="shared" si="1"/>
        <v>0</v>
      </c>
      <c r="N16" s="433">
        <f t="shared" si="1"/>
        <v>88.538999999999987</v>
      </c>
      <c r="O16" s="433">
        <f t="shared" si="1"/>
        <v>99.736000000000004</v>
      </c>
      <c r="P16" s="433">
        <f t="shared" si="1"/>
        <v>42.513999999999996</v>
      </c>
      <c r="Q16" s="433">
        <f t="shared" si="1"/>
        <v>230.78899999999999</v>
      </c>
      <c r="R16" s="427"/>
    </row>
    <row r="17" spans="2:17">
      <c r="B17" s="426">
        <f t="shared" si="0"/>
        <v>10</v>
      </c>
      <c r="C17" s="94" t="s">
        <v>1015</v>
      </c>
      <c r="D17" s="102" t="s">
        <v>43</v>
      </c>
      <c r="E17" s="431"/>
      <c r="F17" s="431"/>
      <c r="G17" s="431"/>
      <c r="H17" s="431"/>
      <c r="I17" s="431"/>
      <c r="J17" s="431"/>
      <c r="K17" s="431"/>
      <c r="L17" s="431"/>
      <c r="M17" s="431"/>
      <c r="N17" s="431"/>
      <c r="O17" s="431"/>
      <c r="P17" s="431"/>
      <c r="Q17" s="432"/>
    </row>
    <row r="18" spans="2:17">
      <c r="B18" s="426">
        <f t="shared" si="0"/>
        <v>11</v>
      </c>
      <c r="C18" s="94" t="s">
        <v>1016</v>
      </c>
      <c r="D18" s="102" t="s">
        <v>361</v>
      </c>
      <c r="E18" s="434"/>
      <c r="F18" s="434"/>
      <c r="G18" s="434"/>
      <c r="H18" s="434"/>
      <c r="I18" s="434"/>
      <c r="J18" s="434"/>
      <c r="K18" s="434"/>
      <c r="L18" s="434"/>
      <c r="M18" s="434"/>
      <c r="N18" s="434"/>
      <c r="O18" s="434"/>
      <c r="P18" s="434"/>
      <c r="Q18" s="434"/>
    </row>
    <row r="19" spans="2:17">
      <c r="B19" s="426">
        <f t="shared" si="0"/>
        <v>12</v>
      </c>
      <c r="C19" s="94" t="s">
        <v>1017</v>
      </c>
      <c r="D19" s="102" t="s">
        <v>362</v>
      </c>
      <c r="E19" s="101"/>
      <c r="F19" s="101"/>
      <c r="G19" s="101"/>
      <c r="H19" s="101"/>
      <c r="I19" s="101"/>
      <c r="J19" s="101"/>
      <c r="K19" s="101"/>
      <c r="L19" s="101"/>
      <c r="M19" s="101"/>
      <c r="N19" s="101"/>
      <c r="O19" s="101"/>
      <c r="P19" s="101"/>
      <c r="Q19" s="103"/>
    </row>
    <row r="20" spans="2:17">
      <c r="B20" s="426">
        <f t="shared" si="0"/>
        <v>13</v>
      </c>
      <c r="C20" s="94" t="s">
        <v>1018</v>
      </c>
      <c r="D20" s="102" t="s">
        <v>361</v>
      </c>
      <c r="E20" s="435"/>
      <c r="F20" s="435"/>
      <c r="G20" s="435"/>
      <c r="H20" s="431"/>
      <c r="I20" s="431"/>
      <c r="J20" s="431"/>
      <c r="K20" s="431"/>
      <c r="L20" s="431"/>
      <c r="M20" s="431"/>
      <c r="N20" s="431"/>
      <c r="O20" s="431"/>
      <c r="P20" s="431"/>
      <c r="Q20" s="432"/>
    </row>
    <row r="21" spans="2:17" ht="15">
      <c r="B21" s="426">
        <f t="shared" si="0"/>
        <v>14</v>
      </c>
      <c r="C21" s="94" t="s">
        <v>1019</v>
      </c>
      <c r="D21" s="102" t="s">
        <v>362</v>
      </c>
      <c r="E21" s="436"/>
      <c r="F21" s="436"/>
      <c r="G21" s="436"/>
      <c r="H21" s="436"/>
      <c r="I21" s="436"/>
      <c r="J21" s="436"/>
      <c r="K21" s="436"/>
      <c r="L21" s="436"/>
      <c r="M21" s="436"/>
      <c r="N21" s="436">
        <v>20.82</v>
      </c>
      <c r="O21" s="436">
        <v>22.82</v>
      </c>
      <c r="P21" s="436">
        <v>11.39</v>
      </c>
      <c r="Q21" s="104">
        <f>SUM(N21:P21)</f>
        <v>55.03</v>
      </c>
    </row>
    <row r="22" spans="2:17" ht="15">
      <c r="B22" s="426">
        <f t="shared" si="0"/>
        <v>15</v>
      </c>
      <c r="C22" s="94" t="s">
        <v>1020</v>
      </c>
      <c r="D22" s="102" t="s">
        <v>362</v>
      </c>
      <c r="E22" s="436"/>
      <c r="F22" s="436"/>
      <c r="G22" s="436"/>
      <c r="H22" s="436"/>
      <c r="I22" s="436"/>
      <c r="J22" s="436"/>
      <c r="K22" s="436"/>
      <c r="L22" s="436"/>
      <c r="M22" s="436"/>
      <c r="N22" s="436">
        <v>29.75</v>
      </c>
      <c r="O22" s="436">
        <v>33.51</v>
      </c>
      <c r="P22" s="436">
        <v>14.28</v>
      </c>
      <c r="Q22" s="104">
        <f t="shared" ref="Q22:Q25" si="2">SUM(N22:P22)</f>
        <v>77.539999999999992</v>
      </c>
    </row>
    <row r="23" spans="2:17" ht="15">
      <c r="B23" s="426">
        <f t="shared" si="0"/>
        <v>16</v>
      </c>
      <c r="C23" s="94" t="s">
        <v>1021</v>
      </c>
      <c r="D23" s="102" t="s">
        <v>362</v>
      </c>
      <c r="E23" s="436"/>
      <c r="F23" s="436"/>
      <c r="G23" s="436"/>
      <c r="H23" s="436"/>
      <c r="I23" s="436"/>
      <c r="J23" s="436"/>
      <c r="K23" s="436"/>
      <c r="L23" s="436"/>
      <c r="M23" s="436"/>
      <c r="N23" s="436">
        <v>6.03</v>
      </c>
      <c r="O23" s="436">
        <v>6.95</v>
      </c>
      <c r="P23" s="436">
        <v>2.27</v>
      </c>
      <c r="Q23" s="104">
        <f t="shared" si="2"/>
        <v>15.25</v>
      </c>
    </row>
    <row r="24" spans="2:17" ht="15">
      <c r="B24" s="426">
        <f t="shared" si="0"/>
        <v>17</v>
      </c>
      <c r="C24" s="94" t="s">
        <v>1022</v>
      </c>
      <c r="D24" s="102" t="s">
        <v>362</v>
      </c>
      <c r="E24" s="436"/>
      <c r="F24" s="436"/>
      <c r="G24" s="436"/>
      <c r="H24" s="436"/>
      <c r="I24" s="436"/>
      <c r="J24" s="436"/>
      <c r="K24" s="436"/>
      <c r="L24" s="436"/>
      <c r="M24" s="436"/>
      <c r="N24" s="436"/>
      <c r="O24" s="436"/>
      <c r="P24" s="436"/>
      <c r="Q24" s="104">
        <f t="shared" si="2"/>
        <v>0</v>
      </c>
    </row>
    <row r="25" spans="2:17" ht="15">
      <c r="B25" s="426">
        <f t="shared" si="0"/>
        <v>18</v>
      </c>
      <c r="C25" s="437" t="s">
        <v>1023</v>
      </c>
      <c r="D25" s="102" t="s">
        <v>362</v>
      </c>
      <c r="E25" s="436"/>
      <c r="F25" s="436"/>
      <c r="G25" s="436"/>
      <c r="H25" s="436"/>
      <c r="I25" s="436"/>
      <c r="J25" s="436"/>
      <c r="K25" s="436"/>
      <c r="L25" s="436"/>
      <c r="M25" s="436"/>
      <c r="N25" s="436">
        <f>SUM(N21:N24)</f>
        <v>56.6</v>
      </c>
      <c r="O25" s="436">
        <f t="shared" ref="O25:P25" si="3">SUM(O21:O24)</f>
        <v>63.28</v>
      </c>
      <c r="P25" s="436">
        <f t="shared" si="3"/>
        <v>27.94</v>
      </c>
      <c r="Q25" s="104">
        <f t="shared" si="2"/>
        <v>147.82</v>
      </c>
    </row>
    <row r="26" spans="2:17" ht="15">
      <c r="B26" s="426">
        <f t="shared" si="0"/>
        <v>19</v>
      </c>
      <c r="C26" s="377" t="s">
        <v>1024</v>
      </c>
      <c r="D26" s="102"/>
      <c r="E26" s="436"/>
      <c r="F26" s="430"/>
      <c r="G26" s="430"/>
      <c r="H26" s="430"/>
      <c r="I26" s="430"/>
      <c r="J26" s="430"/>
      <c r="K26" s="430"/>
      <c r="L26" s="430"/>
      <c r="M26" s="101"/>
      <c r="N26" s="101"/>
      <c r="O26" s="101"/>
      <c r="P26" s="101"/>
      <c r="Q26" s="104"/>
    </row>
    <row r="27" spans="2:17" ht="15">
      <c r="B27" s="426"/>
      <c r="C27" s="94" t="s">
        <v>1025</v>
      </c>
      <c r="D27" s="102" t="s">
        <v>362</v>
      </c>
      <c r="E27" s="436"/>
      <c r="F27" s="430"/>
      <c r="G27" s="430"/>
      <c r="H27" s="430"/>
      <c r="I27" s="430"/>
      <c r="J27" s="430"/>
      <c r="K27" s="430"/>
      <c r="L27" s="430"/>
      <c r="M27" s="101"/>
      <c r="N27" s="101"/>
      <c r="O27" s="101"/>
      <c r="P27" s="101"/>
      <c r="Q27" s="104">
        <v>19.920000000000002</v>
      </c>
    </row>
    <row r="28" spans="2:17" ht="15">
      <c r="B28" s="102">
        <f>B26+1</f>
        <v>20</v>
      </c>
      <c r="C28" s="93" t="s">
        <v>1026</v>
      </c>
      <c r="D28" s="102" t="s">
        <v>362</v>
      </c>
      <c r="E28" s="433">
        <f>E25+E26</f>
        <v>0</v>
      </c>
      <c r="F28" s="433">
        <f t="shared" ref="F28:P28" si="4">F25+F26</f>
        <v>0</v>
      </c>
      <c r="G28" s="433">
        <f t="shared" si="4"/>
        <v>0</v>
      </c>
      <c r="H28" s="433">
        <f t="shared" si="4"/>
        <v>0</v>
      </c>
      <c r="I28" s="433">
        <f t="shared" si="4"/>
        <v>0</v>
      </c>
      <c r="J28" s="433">
        <f t="shared" si="4"/>
        <v>0</v>
      </c>
      <c r="K28" s="433">
        <f t="shared" si="4"/>
        <v>0</v>
      </c>
      <c r="L28" s="433">
        <f t="shared" si="4"/>
        <v>0</v>
      </c>
      <c r="M28" s="433">
        <f t="shared" si="4"/>
        <v>0</v>
      </c>
      <c r="N28" s="433">
        <f t="shared" si="4"/>
        <v>56.6</v>
      </c>
      <c r="O28" s="433">
        <f t="shared" si="4"/>
        <v>63.28</v>
      </c>
      <c r="P28" s="433">
        <f t="shared" si="4"/>
        <v>27.94</v>
      </c>
      <c r="Q28" s="433">
        <v>167.74</v>
      </c>
    </row>
    <row r="29" spans="2:17" ht="15">
      <c r="B29" s="102">
        <f>B28+1</f>
        <v>21</v>
      </c>
      <c r="C29" s="93" t="s">
        <v>1027</v>
      </c>
      <c r="D29" s="102" t="s">
        <v>362</v>
      </c>
      <c r="E29" s="436"/>
      <c r="F29" s="436"/>
      <c r="G29" s="436"/>
      <c r="H29" s="436"/>
      <c r="I29" s="436"/>
      <c r="J29" s="436"/>
      <c r="K29" s="436"/>
      <c r="L29" s="436"/>
      <c r="M29" s="436"/>
      <c r="N29" s="436"/>
      <c r="O29" s="436"/>
      <c r="P29" s="436"/>
      <c r="Q29" s="438">
        <v>167.74</v>
      </c>
    </row>
  </sheetData>
  <pageMargins left="0" right="0" top="0.75" bottom="0.75" header="0.3" footer="0.3"/>
  <pageSetup paperSize="9" scale="96" fitToHeight="0" orientation="landscape" r:id="rId1"/>
</worksheet>
</file>

<file path=xl/worksheets/sheet21.xml><?xml version="1.0" encoding="utf-8"?>
<worksheet xmlns="http://schemas.openxmlformats.org/spreadsheetml/2006/main" xmlns:r="http://schemas.openxmlformats.org/officeDocument/2006/relationships">
  <sheetPr>
    <tabColor rgb="FFFF0000"/>
    <pageSetUpPr fitToPage="1"/>
  </sheetPr>
  <dimension ref="A1:J42"/>
  <sheetViews>
    <sheetView zoomScale="80" zoomScaleNormal="80" zoomScaleSheetLayoutView="70" workbookViewId="0">
      <selection activeCell="K25" sqref="K25"/>
    </sheetView>
  </sheetViews>
  <sheetFormatPr defaultRowHeight="14.25"/>
  <cols>
    <col min="1" max="1" width="49.7109375" style="74" customWidth="1"/>
    <col min="2" max="2" width="19.5703125" style="74" customWidth="1"/>
    <col min="3" max="3" width="20.140625" style="74" customWidth="1"/>
    <col min="4" max="4" width="17.5703125" style="74" customWidth="1"/>
    <col min="5" max="5" width="20.140625" style="74" customWidth="1"/>
    <col min="6" max="7" width="20.42578125" style="74" customWidth="1"/>
    <col min="8" max="8" width="21.140625" style="74" customWidth="1"/>
    <col min="9" max="9" width="19.7109375" style="74" customWidth="1"/>
    <col min="10" max="13" width="9.140625" style="74"/>
    <col min="14" max="14" width="9.85546875" style="74" bestFit="1" customWidth="1"/>
    <col min="15" max="256" width="9.140625" style="74"/>
    <col min="257" max="257" width="49.7109375" style="74" customWidth="1"/>
    <col min="258" max="258" width="19.5703125" style="74" customWidth="1"/>
    <col min="259" max="259" width="20.140625" style="74" customWidth="1"/>
    <col min="260" max="260" width="17.5703125" style="74" customWidth="1"/>
    <col min="261" max="261" width="20.140625" style="74" customWidth="1"/>
    <col min="262" max="263" width="20.42578125" style="74" customWidth="1"/>
    <col min="264" max="264" width="21.140625" style="74" customWidth="1"/>
    <col min="265" max="265" width="17.85546875" style="74" customWidth="1"/>
    <col min="266" max="269" width="9.140625" style="74"/>
    <col min="270" max="270" width="9.85546875" style="74" bestFit="1" customWidth="1"/>
    <col min="271" max="512" width="9.140625" style="74"/>
    <col min="513" max="513" width="49.7109375" style="74" customWidth="1"/>
    <col min="514" max="514" width="19.5703125" style="74" customWidth="1"/>
    <col min="515" max="515" width="20.140625" style="74" customWidth="1"/>
    <col min="516" max="516" width="17.5703125" style="74" customWidth="1"/>
    <col min="517" max="517" width="20.140625" style="74" customWidth="1"/>
    <col min="518" max="519" width="20.42578125" style="74" customWidth="1"/>
    <col min="520" max="520" width="21.140625" style="74" customWidth="1"/>
    <col min="521" max="521" width="17.85546875" style="74" customWidth="1"/>
    <col min="522" max="525" width="9.140625" style="74"/>
    <col min="526" max="526" width="9.85546875" style="74" bestFit="1" customWidth="1"/>
    <col min="527" max="768" width="9.140625" style="74"/>
    <col min="769" max="769" width="49.7109375" style="74" customWidth="1"/>
    <col min="770" max="770" width="19.5703125" style="74" customWidth="1"/>
    <col min="771" max="771" width="20.140625" style="74" customWidth="1"/>
    <col min="772" max="772" width="17.5703125" style="74" customWidth="1"/>
    <col min="773" max="773" width="20.140625" style="74" customWidth="1"/>
    <col min="774" max="775" width="20.42578125" style="74" customWidth="1"/>
    <col min="776" max="776" width="21.140625" style="74" customWidth="1"/>
    <col min="777" max="777" width="17.85546875" style="74" customWidth="1"/>
    <col min="778" max="781" width="9.140625" style="74"/>
    <col min="782" max="782" width="9.85546875" style="74" bestFit="1" customWidth="1"/>
    <col min="783" max="1024" width="9.140625" style="74"/>
    <col min="1025" max="1025" width="49.7109375" style="74" customWidth="1"/>
    <col min="1026" max="1026" width="19.5703125" style="74" customWidth="1"/>
    <col min="1027" max="1027" width="20.140625" style="74" customWidth="1"/>
    <col min="1028" max="1028" width="17.5703125" style="74" customWidth="1"/>
    <col min="1029" max="1029" width="20.140625" style="74" customWidth="1"/>
    <col min="1030" max="1031" width="20.42578125" style="74" customWidth="1"/>
    <col min="1032" max="1032" width="21.140625" style="74" customWidth="1"/>
    <col min="1033" max="1033" width="17.85546875" style="74" customWidth="1"/>
    <col min="1034" max="1037" width="9.140625" style="74"/>
    <col min="1038" max="1038" width="9.85546875" style="74" bestFit="1" customWidth="1"/>
    <col min="1039" max="1280" width="9.140625" style="74"/>
    <col min="1281" max="1281" width="49.7109375" style="74" customWidth="1"/>
    <col min="1282" max="1282" width="19.5703125" style="74" customWidth="1"/>
    <col min="1283" max="1283" width="20.140625" style="74" customWidth="1"/>
    <col min="1284" max="1284" width="17.5703125" style="74" customWidth="1"/>
    <col min="1285" max="1285" width="20.140625" style="74" customWidth="1"/>
    <col min="1286" max="1287" width="20.42578125" style="74" customWidth="1"/>
    <col min="1288" max="1288" width="21.140625" style="74" customWidth="1"/>
    <col min="1289" max="1289" width="17.85546875" style="74" customWidth="1"/>
    <col min="1290" max="1293" width="9.140625" style="74"/>
    <col min="1294" max="1294" width="9.85546875" style="74" bestFit="1" customWidth="1"/>
    <col min="1295" max="1536" width="9.140625" style="74"/>
    <col min="1537" max="1537" width="49.7109375" style="74" customWidth="1"/>
    <col min="1538" max="1538" width="19.5703125" style="74" customWidth="1"/>
    <col min="1539" max="1539" width="20.140625" style="74" customWidth="1"/>
    <col min="1540" max="1540" width="17.5703125" style="74" customWidth="1"/>
    <col min="1541" max="1541" width="20.140625" style="74" customWidth="1"/>
    <col min="1542" max="1543" width="20.42578125" style="74" customWidth="1"/>
    <col min="1544" max="1544" width="21.140625" style="74" customWidth="1"/>
    <col min="1545" max="1545" width="17.85546875" style="74" customWidth="1"/>
    <col min="1546" max="1549" width="9.140625" style="74"/>
    <col min="1550" max="1550" width="9.85546875" style="74" bestFit="1" customWidth="1"/>
    <col min="1551" max="1792" width="9.140625" style="74"/>
    <col min="1793" max="1793" width="49.7109375" style="74" customWidth="1"/>
    <col min="1794" max="1794" width="19.5703125" style="74" customWidth="1"/>
    <col min="1795" max="1795" width="20.140625" style="74" customWidth="1"/>
    <col min="1796" max="1796" width="17.5703125" style="74" customWidth="1"/>
    <col min="1797" max="1797" width="20.140625" style="74" customWidth="1"/>
    <col min="1798" max="1799" width="20.42578125" style="74" customWidth="1"/>
    <col min="1800" max="1800" width="21.140625" style="74" customWidth="1"/>
    <col min="1801" max="1801" width="17.85546875" style="74" customWidth="1"/>
    <col min="1802" max="1805" width="9.140625" style="74"/>
    <col min="1806" max="1806" width="9.85546875" style="74" bestFit="1" customWidth="1"/>
    <col min="1807" max="2048" width="9.140625" style="74"/>
    <col min="2049" max="2049" width="49.7109375" style="74" customWidth="1"/>
    <col min="2050" max="2050" width="19.5703125" style="74" customWidth="1"/>
    <col min="2051" max="2051" width="20.140625" style="74" customWidth="1"/>
    <col min="2052" max="2052" width="17.5703125" style="74" customWidth="1"/>
    <col min="2053" max="2053" width="20.140625" style="74" customWidth="1"/>
    <col min="2054" max="2055" width="20.42578125" style="74" customWidth="1"/>
    <col min="2056" max="2056" width="21.140625" style="74" customWidth="1"/>
    <col min="2057" max="2057" width="17.85546875" style="74" customWidth="1"/>
    <col min="2058" max="2061" width="9.140625" style="74"/>
    <col min="2062" max="2062" width="9.85546875" style="74" bestFit="1" customWidth="1"/>
    <col min="2063" max="2304" width="9.140625" style="74"/>
    <col min="2305" max="2305" width="49.7109375" style="74" customWidth="1"/>
    <col min="2306" max="2306" width="19.5703125" style="74" customWidth="1"/>
    <col min="2307" max="2307" width="20.140625" style="74" customWidth="1"/>
    <col min="2308" max="2308" width="17.5703125" style="74" customWidth="1"/>
    <col min="2309" max="2309" width="20.140625" style="74" customWidth="1"/>
    <col min="2310" max="2311" width="20.42578125" style="74" customWidth="1"/>
    <col min="2312" max="2312" width="21.140625" style="74" customWidth="1"/>
    <col min="2313" max="2313" width="17.85546875" style="74" customWidth="1"/>
    <col min="2314" max="2317" width="9.140625" style="74"/>
    <col min="2318" max="2318" width="9.85546875" style="74" bestFit="1" customWidth="1"/>
    <col min="2319" max="2560" width="9.140625" style="74"/>
    <col min="2561" max="2561" width="49.7109375" style="74" customWidth="1"/>
    <col min="2562" max="2562" width="19.5703125" style="74" customWidth="1"/>
    <col min="2563" max="2563" width="20.140625" style="74" customWidth="1"/>
    <col min="2564" max="2564" width="17.5703125" style="74" customWidth="1"/>
    <col min="2565" max="2565" width="20.140625" style="74" customWidth="1"/>
    <col min="2566" max="2567" width="20.42578125" style="74" customWidth="1"/>
    <col min="2568" max="2568" width="21.140625" style="74" customWidth="1"/>
    <col min="2569" max="2569" width="17.85546875" style="74" customWidth="1"/>
    <col min="2570" max="2573" width="9.140625" style="74"/>
    <col min="2574" max="2574" width="9.85546875" style="74" bestFit="1" customWidth="1"/>
    <col min="2575" max="2816" width="9.140625" style="74"/>
    <col min="2817" max="2817" width="49.7109375" style="74" customWidth="1"/>
    <col min="2818" max="2818" width="19.5703125" style="74" customWidth="1"/>
    <col min="2819" max="2819" width="20.140625" style="74" customWidth="1"/>
    <col min="2820" max="2820" width="17.5703125" style="74" customWidth="1"/>
    <col min="2821" max="2821" width="20.140625" style="74" customWidth="1"/>
    <col min="2822" max="2823" width="20.42578125" style="74" customWidth="1"/>
    <col min="2824" max="2824" width="21.140625" style="74" customWidth="1"/>
    <col min="2825" max="2825" width="17.85546875" style="74" customWidth="1"/>
    <col min="2826" max="2829" width="9.140625" style="74"/>
    <col min="2830" max="2830" width="9.85546875" style="74" bestFit="1" customWidth="1"/>
    <col min="2831" max="3072" width="9.140625" style="74"/>
    <col min="3073" max="3073" width="49.7109375" style="74" customWidth="1"/>
    <col min="3074" max="3074" width="19.5703125" style="74" customWidth="1"/>
    <col min="3075" max="3075" width="20.140625" style="74" customWidth="1"/>
    <col min="3076" max="3076" width="17.5703125" style="74" customWidth="1"/>
    <col min="3077" max="3077" width="20.140625" style="74" customWidth="1"/>
    <col min="3078" max="3079" width="20.42578125" style="74" customWidth="1"/>
    <col min="3080" max="3080" width="21.140625" style="74" customWidth="1"/>
    <col min="3081" max="3081" width="17.85546875" style="74" customWidth="1"/>
    <col min="3082" max="3085" width="9.140625" style="74"/>
    <col min="3086" max="3086" width="9.85546875" style="74" bestFit="1" customWidth="1"/>
    <col min="3087" max="3328" width="9.140625" style="74"/>
    <col min="3329" max="3329" width="49.7109375" style="74" customWidth="1"/>
    <col min="3330" max="3330" width="19.5703125" style="74" customWidth="1"/>
    <col min="3331" max="3331" width="20.140625" style="74" customWidth="1"/>
    <col min="3332" max="3332" width="17.5703125" style="74" customWidth="1"/>
    <col min="3333" max="3333" width="20.140625" style="74" customWidth="1"/>
    <col min="3334" max="3335" width="20.42578125" style="74" customWidth="1"/>
    <col min="3336" max="3336" width="21.140625" style="74" customWidth="1"/>
    <col min="3337" max="3337" width="17.85546875" style="74" customWidth="1"/>
    <col min="3338" max="3341" width="9.140625" style="74"/>
    <col min="3342" max="3342" width="9.85546875" style="74" bestFit="1" customWidth="1"/>
    <col min="3343" max="3584" width="9.140625" style="74"/>
    <col min="3585" max="3585" width="49.7109375" style="74" customWidth="1"/>
    <col min="3586" max="3586" width="19.5703125" style="74" customWidth="1"/>
    <col min="3587" max="3587" width="20.140625" style="74" customWidth="1"/>
    <col min="3588" max="3588" width="17.5703125" style="74" customWidth="1"/>
    <col min="3589" max="3589" width="20.140625" style="74" customWidth="1"/>
    <col min="3590" max="3591" width="20.42578125" style="74" customWidth="1"/>
    <col min="3592" max="3592" width="21.140625" style="74" customWidth="1"/>
    <col min="3593" max="3593" width="17.85546875" style="74" customWidth="1"/>
    <col min="3594" max="3597" width="9.140625" style="74"/>
    <col min="3598" max="3598" width="9.85546875" style="74" bestFit="1" customWidth="1"/>
    <col min="3599" max="3840" width="9.140625" style="74"/>
    <col min="3841" max="3841" width="49.7109375" style="74" customWidth="1"/>
    <col min="3842" max="3842" width="19.5703125" style="74" customWidth="1"/>
    <col min="3843" max="3843" width="20.140625" style="74" customWidth="1"/>
    <col min="3844" max="3844" width="17.5703125" style="74" customWidth="1"/>
    <col min="3845" max="3845" width="20.140625" style="74" customWidth="1"/>
    <col min="3846" max="3847" width="20.42578125" style="74" customWidth="1"/>
    <col min="3848" max="3848" width="21.140625" style="74" customWidth="1"/>
    <col min="3849" max="3849" width="17.85546875" style="74" customWidth="1"/>
    <col min="3850" max="3853" width="9.140625" style="74"/>
    <col min="3854" max="3854" width="9.85546875" style="74" bestFit="1" customWidth="1"/>
    <col min="3855" max="4096" width="9.140625" style="74"/>
    <col min="4097" max="4097" width="49.7109375" style="74" customWidth="1"/>
    <col min="4098" max="4098" width="19.5703125" style="74" customWidth="1"/>
    <col min="4099" max="4099" width="20.140625" style="74" customWidth="1"/>
    <col min="4100" max="4100" width="17.5703125" style="74" customWidth="1"/>
    <col min="4101" max="4101" width="20.140625" style="74" customWidth="1"/>
    <col min="4102" max="4103" width="20.42578125" style="74" customWidth="1"/>
    <col min="4104" max="4104" width="21.140625" style="74" customWidth="1"/>
    <col min="4105" max="4105" width="17.85546875" style="74" customWidth="1"/>
    <col min="4106" max="4109" width="9.140625" style="74"/>
    <col min="4110" max="4110" width="9.85546875" style="74" bestFit="1" customWidth="1"/>
    <col min="4111" max="4352" width="9.140625" style="74"/>
    <col min="4353" max="4353" width="49.7109375" style="74" customWidth="1"/>
    <col min="4354" max="4354" width="19.5703125" style="74" customWidth="1"/>
    <col min="4355" max="4355" width="20.140625" style="74" customWidth="1"/>
    <col min="4356" max="4356" width="17.5703125" style="74" customWidth="1"/>
    <col min="4357" max="4357" width="20.140625" style="74" customWidth="1"/>
    <col min="4358" max="4359" width="20.42578125" style="74" customWidth="1"/>
    <col min="4360" max="4360" width="21.140625" style="74" customWidth="1"/>
    <col min="4361" max="4361" width="17.85546875" style="74" customWidth="1"/>
    <col min="4362" max="4365" width="9.140625" style="74"/>
    <col min="4366" max="4366" width="9.85546875" style="74" bestFit="1" customWidth="1"/>
    <col min="4367" max="4608" width="9.140625" style="74"/>
    <col min="4609" max="4609" width="49.7109375" style="74" customWidth="1"/>
    <col min="4610" max="4610" width="19.5703125" style="74" customWidth="1"/>
    <col min="4611" max="4611" width="20.140625" style="74" customWidth="1"/>
    <col min="4612" max="4612" width="17.5703125" style="74" customWidth="1"/>
    <col min="4613" max="4613" width="20.140625" style="74" customWidth="1"/>
    <col min="4614" max="4615" width="20.42578125" style="74" customWidth="1"/>
    <col min="4616" max="4616" width="21.140625" style="74" customWidth="1"/>
    <col min="4617" max="4617" width="17.85546875" style="74" customWidth="1"/>
    <col min="4618" max="4621" width="9.140625" style="74"/>
    <col min="4622" max="4622" width="9.85546875" style="74" bestFit="1" customWidth="1"/>
    <col min="4623" max="4864" width="9.140625" style="74"/>
    <col min="4865" max="4865" width="49.7109375" style="74" customWidth="1"/>
    <col min="4866" max="4866" width="19.5703125" style="74" customWidth="1"/>
    <col min="4867" max="4867" width="20.140625" style="74" customWidth="1"/>
    <col min="4868" max="4868" width="17.5703125" style="74" customWidth="1"/>
    <col min="4869" max="4869" width="20.140625" style="74" customWidth="1"/>
    <col min="4870" max="4871" width="20.42578125" style="74" customWidth="1"/>
    <col min="4872" max="4872" width="21.140625" style="74" customWidth="1"/>
    <col min="4873" max="4873" width="17.85546875" style="74" customWidth="1"/>
    <col min="4874" max="4877" width="9.140625" style="74"/>
    <col min="4878" max="4878" width="9.85546875" style="74" bestFit="1" customWidth="1"/>
    <col min="4879" max="5120" width="9.140625" style="74"/>
    <col min="5121" max="5121" width="49.7109375" style="74" customWidth="1"/>
    <col min="5122" max="5122" width="19.5703125" style="74" customWidth="1"/>
    <col min="5123" max="5123" width="20.140625" style="74" customWidth="1"/>
    <col min="5124" max="5124" width="17.5703125" style="74" customWidth="1"/>
    <col min="5125" max="5125" width="20.140625" style="74" customWidth="1"/>
    <col min="5126" max="5127" width="20.42578125" style="74" customWidth="1"/>
    <col min="5128" max="5128" width="21.140625" style="74" customWidth="1"/>
    <col min="5129" max="5129" width="17.85546875" style="74" customWidth="1"/>
    <col min="5130" max="5133" width="9.140625" style="74"/>
    <col min="5134" max="5134" width="9.85546875" style="74" bestFit="1" customWidth="1"/>
    <col min="5135" max="5376" width="9.140625" style="74"/>
    <col min="5377" max="5377" width="49.7109375" style="74" customWidth="1"/>
    <col min="5378" max="5378" width="19.5703125" style="74" customWidth="1"/>
    <col min="5379" max="5379" width="20.140625" style="74" customWidth="1"/>
    <col min="5380" max="5380" width="17.5703125" style="74" customWidth="1"/>
    <col min="5381" max="5381" width="20.140625" style="74" customWidth="1"/>
    <col min="5382" max="5383" width="20.42578125" style="74" customWidth="1"/>
    <col min="5384" max="5384" width="21.140625" style="74" customWidth="1"/>
    <col min="5385" max="5385" width="17.85546875" style="74" customWidth="1"/>
    <col min="5386" max="5389" width="9.140625" style="74"/>
    <col min="5390" max="5390" width="9.85546875" style="74" bestFit="1" customWidth="1"/>
    <col min="5391" max="5632" width="9.140625" style="74"/>
    <col min="5633" max="5633" width="49.7109375" style="74" customWidth="1"/>
    <col min="5634" max="5634" width="19.5703125" style="74" customWidth="1"/>
    <col min="5635" max="5635" width="20.140625" style="74" customWidth="1"/>
    <col min="5636" max="5636" width="17.5703125" style="74" customWidth="1"/>
    <col min="5637" max="5637" width="20.140625" style="74" customWidth="1"/>
    <col min="5638" max="5639" width="20.42578125" style="74" customWidth="1"/>
    <col min="5640" max="5640" width="21.140625" style="74" customWidth="1"/>
    <col min="5641" max="5641" width="17.85546875" style="74" customWidth="1"/>
    <col min="5642" max="5645" width="9.140625" style="74"/>
    <col min="5646" max="5646" width="9.85546875" style="74" bestFit="1" customWidth="1"/>
    <col min="5647" max="5888" width="9.140625" style="74"/>
    <col min="5889" max="5889" width="49.7109375" style="74" customWidth="1"/>
    <col min="5890" max="5890" width="19.5703125" style="74" customWidth="1"/>
    <col min="5891" max="5891" width="20.140625" style="74" customWidth="1"/>
    <col min="5892" max="5892" width="17.5703125" style="74" customWidth="1"/>
    <col min="5893" max="5893" width="20.140625" style="74" customWidth="1"/>
    <col min="5894" max="5895" width="20.42578125" style="74" customWidth="1"/>
    <col min="5896" max="5896" width="21.140625" style="74" customWidth="1"/>
    <col min="5897" max="5897" width="17.85546875" style="74" customWidth="1"/>
    <col min="5898" max="5901" width="9.140625" style="74"/>
    <col min="5902" max="5902" width="9.85546875" style="74" bestFit="1" customWidth="1"/>
    <col min="5903" max="6144" width="9.140625" style="74"/>
    <col min="6145" max="6145" width="49.7109375" style="74" customWidth="1"/>
    <col min="6146" max="6146" width="19.5703125" style="74" customWidth="1"/>
    <col min="6147" max="6147" width="20.140625" style="74" customWidth="1"/>
    <col min="6148" max="6148" width="17.5703125" style="74" customWidth="1"/>
    <col min="6149" max="6149" width="20.140625" style="74" customWidth="1"/>
    <col min="6150" max="6151" width="20.42578125" style="74" customWidth="1"/>
    <col min="6152" max="6152" width="21.140625" style="74" customWidth="1"/>
    <col min="6153" max="6153" width="17.85546875" style="74" customWidth="1"/>
    <col min="6154" max="6157" width="9.140625" style="74"/>
    <col min="6158" max="6158" width="9.85546875" style="74" bestFit="1" customWidth="1"/>
    <col min="6159" max="6400" width="9.140625" style="74"/>
    <col min="6401" max="6401" width="49.7109375" style="74" customWidth="1"/>
    <col min="6402" max="6402" width="19.5703125" style="74" customWidth="1"/>
    <col min="6403" max="6403" width="20.140625" style="74" customWidth="1"/>
    <col min="6404" max="6404" width="17.5703125" style="74" customWidth="1"/>
    <col min="6405" max="6405" width="20.140625" style="74" customWidth="1"/>
    <col min="6406" max="6407" width="20.42578125" style="74" customWidth="1"/>
    <col min="6408" max="6408" width="21.140625" style="74" customWidth="1"/>
    <col min="6409" max="6409" width="17.85546875" style="74" customWidth="1"/>
    <col min="6410" max="6413" width="9.140625" style="74"/>
    <col min="6414" max="6414" width="9.85546875" style="74" bestFit="1" customWidth="1"/>
    <col min="6415" max="6656" width="9.140625" style="74"/>
    <col min="6657" max="6657" width="49.7109375" style="74" customWidth="1"/>
    <col min="6658" max="6658" width="19.5703125" style="74" customWidth="1"/>
    <col min="6659" max="6659" width="20.140625" style="74" customWidth="1"/>
    <col min="6660" max="6660" width="17.5703125" style="74" customWidth="1"/>
    <col min="6661" max="6661" width="20.140625" style="74" customWidth="1"/>
    <col min="6662" max="6663" width="20.42578125" style="74" customWidth="1"/>
    <col min="6664" max="6664" width="21.140625" style="74" customWidth="1"/>
    <col min="6665" max="6665" width="17.85546875" style="74" customWidth="1"/>
    <col min="6666" max="6669" width="9.140625" style="74"/>
    <col min="6670" max="6670" width="9.85546875" style="74" bestFit="1" customWidth="1"/>
    <col min="6671" max="6912" width="9.140625" style="74"/>
    <col min="6913" max="6913" width="49.7109375" style="74" customWidth="1"/>
    <col min="6914" max="6914" width="19.5703125" style="74" customWidth="1"/>
    <col min="6915" max="6915" width="20.140625" style="74" customWidth="1"/>
    <col min="6916" max="6916" width="17.5703125" style="74" customWidth="1"/>
    <col min="6917" max="6917" width="20.140625" style="74" customWidth="1"/>
    <col min="6918" max="6919" width="20.42578125" style="74" customWidth="1"/>
    <col min="6920" max="6920" width="21.140625" style="74" customWidth="1"/>
    <col min="6921" max="6921" width="17.85546875" style="74" customWidth="1"/>
    <col min="6922" max="6925" width="9.140625" style="74"/>
    <col min="6926" max="6926" width="9.85546875" style="74" bestFit="1" customWidth="1"/>
    <col min="6927" max="7168" width="9.140625" style="74"/>
    <col min="7169" max="7169" width="49.7109375" style="74" customWidth="1"/>
    <col min="7170" max="7170" width="19.5703125" style="74" customWidth="1"/>
    <col min="7171" max="7171" width="20.140625" style="74" customWidth="1"/>
    <col min="7172" max="7172" width="17.5703125" style="74" customWidth="1"/>
    <col min="7173" max="7173" width="20.140625" style="74" customWidth="1"/>
    <col min="7174" max="7175" width="20.42578125" style="74" customWidth="1"/>
    <col min="7176" max="7176" width="21.140625" style="74" customWidth="1"/>
    <col min="7177" max="7177" width="17.85546875" style="74" customWidth="1"/>
    <col min="7178" max="7181" width="9.140625" style="74"/>
    <col min="7182" max="7182" width="9.85546875" style="74" bestFit="1" customWidth="1"/>
    <col min="7183" max="7424" width="9.140625" style="74"/>
    <col min="7425" max="7425" width="49.7109375" style="74" customWidth="1"/>
    <col min="7426" max="7426" width="19.5703125" style="74" customWidth="1"/>
    <col min="7427" max="7427" width="20.140625" style="74" customWidth="1"/>
    <col min="7428" max="7428" width="17.5703125" style="74" customWidth="1"/>
    <col min="7429" max="7429" width="20.140625" style="74" customWidth="1"/>
    <col min="7430" max="7431" width="20.42578125" style="74" customWidth="1"/>
    <col min="7432" max="7432" width="21.140625" style="74" customWidth="1"/>
    <col min="7433" max="7433" width="17.85546875" style="74" customWidth="1"/>
    <col min="7434" max="7437" width="9.140625" style="74"/>
    <col min="7438" max="7438" width="9.85546875" style="74" bestFit="1" customWidth="1"/>
    <col min="7439" max="7680" width="9.140625" style="74"/>
    <col min="7681" max="7681" width="49.7109375" style="74" customWidth="1"/>
    <col min="7682" max="7682" width="19.5703125" style="74" customWidth="1"/>
    <col min="7683" max="7683" width="20.140625" style="74" customWidth="1"/>
    <col min="7684" max="7684" width="17.5703125" style="74" customWidth="1"/>
    <col min="7685" max="7685" width="20.140625" style="74" customWidth="1"/>
    <col min="7686" max="7687" width="20.42578125" style="74" customWidth="1"/>
    <col min="7688" max="7688" width="21.140625" style="74" customWidth="1"/>
    <col min="7689" max="7689" width="17.85546875" style="74" customWidth="1"/>
    <col min="7690" max="7693" width="9.140625" style="74"/>
    <col min="7694" max="7694" width="9.85546875" style="74" bestFit="1" customWidth="1"/>
    <col min="7695" max="7936" width="9.140625" style="74"/>
    <col min="7937" max="7937" width="49.7109375" style="74" customWidth="1"/>
    <col min="7938" max="7938" width="19.5703125" style="74" customWidth="1"/>
    <col min="7939" max="7939" width="20.140625" style="74" customWidth="1"/>
    <col min="7940" max="7940" width="17.5703125" style="74" customWidth="1"/>
    <col min="7941" max="7941" width="20.140625" style="74" customWidth="1"/>
    <col min="7942" max="7943" width="20.42578125" style="74" customWidth="1"/>
    <col min="7944" max="7944" width="21.140625" style="74" customWidth="1"/>
    <col min="7945" max="7945" width="17.85546875" style="74" customWidth="1"/>
    <col min="7946" max="7949" width="9.140625" style="74"/>
    <col min="7950" max="7950" width="9.85546875" style="74" bestFit="1" customWidth="1"/>
    <col min="7951" max="8192" width="9.140625" style="74"/>
    <col min="8193" max="8193" width="49.7109375" style="74" customWidth="1"/>
    <col min="8194" max="8194" width="19.5703125" style="74" customWidth="1"/>
    <col min="8195" max="8195" width="20.140625" style="74" customWidth="1"/>
    <col min="8196" max="8196" width="17.5703125" style="74" customWidth="1"/>
    <col min="8197" max="8197" width="20.140625" style="74" customWidth="1"/>
    <col min="8198" max="8199" width="20.42578125" style="74" customWidth="1"/>
    <col min="8200" max="8200" width="21.140625" style="74" customWidth="1"/>
    <col min="8201" max="8201" width="17.85546875" style="74" customWidth="1"/>
    <col min="8202" max="8205" width="9.140625" style="74"/>
    <col min="8206" max="8206" width="9.85546875" style="74" bestFit="1" customWidth="1"/>
    <col min="8207" max="8448" width="9.140625" style="74"/>
    <col min="8449" max="8449" width="49.7109375" style="74" customWidth="1"/>
    <col min="8450" max="8450" width="19.5703125" style="74" customWidth="1"/>
    <col min="8451" max="8451" width="20.140625" style="74" customWidth="1"/>
    <col min="8452" max="8452" width="17.5703125" style="74" customWidth="1"/>
    <col min="8453" max="8453" width="20.140625" style="74" customWidth="1"/>
    <col min="8454" max="8455" width="20.42578125" style="74" customWidth="1"/>
    <col min="8456" max="8456" width="21.140625" style="74" customWidth="1"/>
    <col min="8457" max="8457" width="17.85546875" style="74" customWidth="1"/>
    <col min="8458" max="8461" width="9.140625" style="74"/>
    <col min="8462" max="8462" width="9.85546875" style="74" bestFit="1" customWidth="1"/>
    <col min="8463" max="8704" width="9.140625" style="74"/>
    <col min="8705" max="8705" width="49.7109375" style="74" customWidth="1"/>
    <col min="8706" max="8706" width="19.5703125" style="74" customWidth="1"/>
    <col min="8707" max="8707" width="20.140625" style="74" customWidth="1"/>
    <col min="8708" max="8708" width="17.5703125" style="74" customWidth="1"/>
    <col min="8709" max="8709" width="20.140625" style="74" customWidth="1"/>
    <col min="8710" max="8711" width="20.42578125" style="74" customWidth="1"/>
    <col min="8712" max="8712" width="21.140625" style="74" customWidth="1"/>
    <col min="8713" max="8713" width="17.85546875" style="74" customWidth="1"/>
    <col min="8714" max="8717" width="9.140625" style="74"/>
    <col min="8718" max="8718" width="9.85546875" style="74" bestFit="1" customWidth="1"/>
    <col min="8719" max="8960" width="9.140625" style="74"/>
    <col min="8961" max="8961" width="49.7109375" style="74" customWidth="1"/>
    <col min="8962" max="8962" width="19.5703125" style="74" customWidth="1"/>
    <col min="8963" max="8963" width="20.140625" style="74" customWidth="1"/>
    <col min="8964" max="8964" width="17.5703125" style="74" customWidth="1"/>
    <col min="8965" max="8965" width="20.140625" style="74" customWidth="1"/>
    <col min="8966" max="8967" width="20.42578125" style="74" customWidth="1"/>
    <col min="8968" max="8968" width="21.140625" style="74" customWidth="1"/>
    <col min="8969" max="8969" width="17.85546875" style="74" customWidth="1"/>
    <col min="8970" max="8973" width="9.140625" style="74"/>
    <col min="8974" max="8974" width="9.85546875" style="74" bestFit="1" customWidth="1"/>
    <col min="8975" max="9216" width="9.140625" style="74"/>
    <col min="9217" max="9217" width="49.7109375" style="74" customWidth="1"/>
    <col min="9218" max="9218" width="19.5703125" style="74" customWidth="1"/>
    <col min="9219" max="9219" width="20.140625" style="74" customWidth="1"/>
    <col min="9220" max="9220" width="17.5703125" style="74" customWidth="1"/>
    <col min="9221" max="9221" width="20.140625" style="74" customWidth="1"/>
    <col min="9222" max="9223" width="20.42578125" style="74" customWidth="1"/>
    <col min="9224" max="9224" width="21.140625" style="74" customWidth="1"/>
    <col min="9225" max="9225" width="17.85546875" style="74" customWidth="1"/>
    <col min="9226" max="9229" width="9.140625" style="74"/>
    <col min="9230" max="9230" width="9.85546875" style="74" bestFit="1" customWidth="1"/>
    <col min="9231" max="9472" width="9.140625" style="74"/>
    <col min="9473" max="9473" width="49.7109375" style="74" customWidth="1"/>
    <col min="9474" max="9474" width="19.5703125" style="74" customWidth="1"/>
    <col min="9475" max="9475" width="20.140625" style="74" customWidth="1"/>
    <col min="9476" max="9476" width="17.5703125" style="74" customWidth="1"/>
    <col min="9477" max="9477" width="20.140625" style="74" customWidth="1"/>
    <col min="9478" max="9479" width="20.42578125" style="74" customWidth="1"/>
    <col min="9480" max="9480" width="21.140625" style="74" customWidth="1"/>
    <col min="9481" max="9481" width="17.85546875" style="74" customWidth="1"/>
    <col min="9482" max="9485" width="9.140625" style="74"/>
    <col min="9486" max="9486" width="9.85546875" style="74" bestFit="1" customWidth="1"/>
    <col min="9487" max="9728" width="9.140625" style="74"/>
    <col min="9729" max="9729" width="49.7109375" style="74" customWidth="1"/>
    <col min="9730" max="9730" width="19.5703125" style="74" customWidth="1"/>
    <col min="9731" max="9731" width="20.140625" style="74" customWidth="1"/>
    <col min="9732" max="9732" width="17.5703125" style="74" customWidth="1"/>
    <col min="9733" max="9733" width="20.140625" style="74" customWidth="1"/>
    <col min="9734" max="9735" width="20.42578125" style="74" customWidth="1"/>
    <col min="9736" max="9736" width="21.140625" style="74" customWidth="1"/>
    <col min="9737" max="9737" width="17.85546875" style="74" customWidth="1"/>
    <col min="9738" max="9741" width="9.140625" style="74"/>
    <col min="9742" max="9742" width="9.85546875" style="74" bestFit="1" customWidth="1"/>
    <col min="9743" max="9984" width="9.140625" style="74"/>
    <col min="9985" max="9985" width="49.7109375" style="74" customWidth="1"/>
    <col min="9986" max="9986" width="19.5703125" style="74" customWidth="1"/>
    <col min="9987" max="9987" width="20.140625" style="74" customWidth="1"/>
    <col min="9988" max="9988" width="17.5703125" style="74" customWidth="1"/>
    <col min="9989" max="9989" width="20.140625" style="74" customWidth="1"/>
    <col min="9990" max="9991" width="20.42578125" style="74" customWidth="1"/>
    <col min="9992" max="9992" width="21.140625" style="74" customWidth="1"/>
    <col min="9993" max="9993" width="17.85546875" style="74" customWidth="1"/>
    <col min="9994" max="9997" width="9.140625" style="74"/>
    <col min="9998" max="9998" width="9.85546875" style="74" bestFit="1" customWidth="1"/>
    <col min="9999" max="10240" width="9.140625" style="74"/>
    <col min="10241" max="10241" width="49.7109375" style="74" customWidth="1"/>
    <col min="10242" max="10242" width="19.5703125" style="74" customWidth="1"/>
    <col min="10243" max="10243" width="20.140625" style="74" customWidth="1"/>
    <col min="10244" max="10244" width="17.5703125" style="74" customWidth="1"/>
    <col min="10245" max="10245" width="20.140625" style="74" customWidth="1"/>
    <col min="10246" max="10247" width="20.42578125" style="74" customWidth="1"/>
    <col min="10248" max="10248" width="21.140625" style="74" customWidth="1"/>
    <col min="10249" max="10249" width="17.85546875" style="74" customWidth="1"/>
    <col min="10250" max="10253" width="9.140625" style="74"/>
    <col min="10254" max="10254" width="9.85546875" style="74" bestFit="1" customWidth="1"/>
    <col min="10255" max="10496" width="9.140625" style="74"/>
    <col min="10497" max="10497" width="49.7109375" style="74" customWidth="1"/>
    <col min="10498" max="10498" width="19.5703125" style="74" customWidth="1"/>
    <col min="10499" max="10499" width="20.140625" style="74" customWidth="1"/>
    <col min="10500" max="10500" width="17.5703125" style="74" customWidth="1"/>
    <col min="10501" max="10501" width="20.140625" style="74" customWidth="1"/>
    <col min="10502" max="10503" width="20.42578125" style="74" customWidth="1"/>
    <col min="10504" max="10504" width="21.140625" style="74" customWidth="1"/>
    <col min="10505" max="10505" width="17.85546875" style="74" customWidth="1"/>
    <col min="10506" max="10509" width="9.140625" style="74"/>
    <col min="10510" max="10510" width="9.85546875" style="74" bestFit="1" customWidth="1"/>
    <col min="10511" max="10752" width="9.140625" style="74"/>
    <col min="10753" max="10753" width="49.7109375" style="74" customWidth="1"/>
    <col min="10754" max="10754" width="19.5703125" style="74" customWidth="1"/>
    <col min="10755" max="10755" width="20.140625" style="74" customWidth="1"/>
    <col min="10756" max="10756" width="17.5703125" style="74" customWidth="1"/>
    <col min="10757" max="10757" width="20.140625" style="74" customWidth="1"/>
    <col min="10758" max="10759" width="20.42578125" style="74" customWidth="1"/>
    <col min="10760" max="10760" width="21.140625" style="74" customWidth="1"/>
    <col min="10761" max="10761" width="17.85546875" style="74" customWidth="1"/>
    <col min="10762" max="10765" width="9.140625" style="74"/>
    <col min="10766" max="10766" width="9.85546875" style="74" bestFit="1" customWidth="1"/>
    <col min="10767" max="11008" width="9.140625" style="74"/>
    <col min="11009" max="11009" width="49.7109375" style="74" customWidth="1"/>
    <col min="11010" max="11010" width="19.5703125" style="74" customWidth="1"/>
    <col min="11011" max="11011" width="20.140625" style="74" customWidth="1"/>
    <col min="11012" max="11012" width="17.5703125" style="74" customWidth="1"/>
    <col min="11013" max="11013" width="20.140625" style="74" customWidth="1"/>
    <col min="11014" max="11015" width="20.42578125" style="74" customWidth="1"/>
    <col min="11016" max="11016" width="21.140625" style="74" customWidth="1"/>
    <col min="11017" max="11017" width="17.85546875" style="74" customWidth="1"/>
    <col min="11018" max="11021" width="9.140625" style="74"/>
    <col min="11022" max="11022" width="9.85546875" style="74" bestFit="1" customWidth="1"/>
    <col min="11023" max="11264" width="9.140625" style="74"/>
    <col min="11265" max="11265" width="49.7109375" style="74" customWidth="1"/>
    <col min="11266" max="11266" width="19.5703125" style="74" customWidth="1"/>
    <col min="11267" max="11267" width="20.140625" style="74" customWidth="1"/>
    <col min="11268" max="11268" width="17.5703125" style="74" customWidth="1"/>
    <col min="11269" max="11269" width="20.140625" style="74" customWidth="1"/>
    <col min="11270" max="11271" width="20.42578125" style="74" customWidth="1"/>
    <col min="11272" max="11272" width="21.140625" style="74" customWidth="1"/>
    <col min="11273" max="11273" width="17.85546875" style="74" customWidth="1"/>
    <col min="11274" max="11277" width="9.140625" style="74"/>
    <col min="11278" max="11278" width="9.85546875" style="74" bestFit="1" customWidth="1"/>
    <col min="11279" max="11520" width="9.140625" style="74"/>
    <col min="11521" max="11521" width="49.7109375" style="74" customWidth="1"/>
    <col min="11522" max="11522" width="19.5703125" style="74" customWidth="1"/>
    <col min="11523" max="11523" width="20.140625" style="74" customWidth="1"/>
    <col min="11524" max="11524" width="17.5703125" style="74" customWidth="1"/>
    <col min="11525" max="11525" width="20.140625" style="74" customWidth="1"/>
    <col min="11526" max="11527" width="20.42578125" style="74" customWidth="1"/>
    <col min="11528" max="11528" width="21.140625" style="74" customWidth="1"/>
    <col min="11529" max="11529" width="17.85546875" style="74" customWidth="1"/>
    <col min="11530" max="11533" width="9.140625" style="74"/>
    <col min="11534" max="11534" width="9.85546875" style="74" bestFit="1" customWidth="1"/>
    <col min="11535" max="11776" width="9.140625" style="74"/>
    <col min="11777" max="11777" width="49.7109375" style="74" customWidth="1"/>
    <col min="11778" max="11778" width="19.5703125" style="74" customWidth="1"/>
    <col min="11779" max="11779" width="20.140625" style="74" customWidth="1"/>
    <col min="11780" max="11780" width="17.5703125" style="74" customWidth="1"/>
    <col min="11781" max="11781" width="20.140625" style="74" customWidth="1"/>
    <col min="11782" max="11783" width="20.42578125" style="74" customWidth="1"/>
    <col min="11784" max="11784" width="21.140625" style="74" customWidth="1"/>
    <col min="11785" max="11785" width="17.85546875" style="74" customWidth="1"/>
    <col min="11786" max="11789" width="9.140625" style="74"/>
    <col min="11790" max="11790" width="9.85546875" style="74" bestFit="1" customWidth="1"/>
    <col min="11791" max="12032" width="9.140625" style="74"/>
    <col min="12033" max="12033" width="49.7109375" style="74" customWidth="1"/>
    <col min="12034" max="12034" width="19.5703125" style="74" customWidth="1"/>
    <col min="12035" max="12035" width="20.140625" style="74" customWidth="1"/>
    <col min="12036" max="12036" width="17.5703125" style="74" customWidth="1"/>
    <col min="12037" max="12037" width="20.140625" style="74" customWidth="1"/>
    <col min="12038" max="12039" width="20.42578125" style="74" customWidth="1"/>
    <col min="12040" max="12040" width="21.140625" style="74" customWidth="1"/>
    <col min="12041" max="12041" width="17.85546875" style="74" customWidth="1"/>
    <col min="12042" max="12045" width="9.140625" style="74"/>
    <col min="12046" max="12046" width="9.85546875" style="74" bestFit="1" customWidth="1"/>
    <col min="12047" max="12288" width="9.140625" style="74"/>
    <col min="12289" max="12289" width="49.7109375" style="74" customWidth="1"/>
    <col min="12290" max="12290" width="19.5703125" style="74" customWidth="1"/>
    <col min="12291" max="12291" width="20.140625" style="74" customWidth="1"/>
    <col min="12292" max="12292" width="17.5703125" style="74" customWidth="1"/>
    <col min="12293" max="12293" width="20.140625" style="74" customWidth="1"/>
    <col min="12294" max="12295" width="20.42578125" style="74" customWidth="1"/>
    <col min="12296" max="12296" width="21.140625" style="74" customWidth="1"/>
    <col min="12297" max="12297" width="17.85546875" style="74" customWidth="1"/>
    <col min="12298" max="12301" width="9.140625" style="74"/>
    <col min="12302" max="12302" width="9.85546875" style="74" bestFit="1" customWidth="1"/>
    <col min="12303" max="12544" width="9.140625" style="74"/>
    <col min="12545" max="12545" width="49.7109375" style="74" customWidth="1"/>
    <col min="12546" max="12546" width="19.5703125" style="74" customWidth="1"/>
    <col min="12547" max="12547" width="20.140625" style="74" customWidth="1"/>
    <col min="12548" max="12548" width="17.5703125" style="74" customWidth="1"/>
    <col min="12549" max="12549" width="20.140625" style="74" customWidth="1"/>
    <col min="12550" max="12551" width="20.42578125" style="74" customWidth="1"/>
    <col min="12552" max="12552" width="21.140625" style="74" customWidth="1"/>
    <col min="12553" max="12553" width="17.85546875" style="74" customWidth="1"/>
    <col min="12554" max="12557" width="9.140625" style="74"/>
    <col min="12558" max="12558" width="9.85546875" style="74" bestFit="1" customWidth="1"/>
    <col min="12559" max="12800" width="9.140625" style="74"/>
    <col min="12801" max="12801" width="49.7109375" style="74" customWidth="1"/>
    <col min="12802" max="12802" width="19.5703125" style="74" customWidth="1"/>
    <col min="12803" max="12803" width="20.140625" style="74" customWidth="1"/>
    <col min="12804" max="12804" width="17.5703125" style="74" customWidth="1"/>
    <col min="12805" max="12805" width="20.140625" style="74" customWidth="1"/>
    <col min="12806" max="12807" width="20.42578125" style="74" customWidth="1"/>
    <col min="12808" max="12808" width="21.140625" style="74" customWidth="1"/>
    <col min="12809" max="12809" width="17.85546875" style="74" customWidth="1"/>
    <col min="12810" max="12813" width="9.140625" style="74"/>
    <col min="12814" max="12814" width="9.85546875" style="74" bestFit="1" customWidth="1"/>
    <col min="12815" max="13056" width="9.140625" style="74"/>
    <col min="13057" max="13057" width="49.7109375" style="74" customWidth="1"/>
    <col min="13058" max="13058" width="19.5703125" style="74" customWidth="1"/>
    <col min="13059" max="13059" width="20.140625" style="74" customWidth="1"/>
    <col min="13060" max="13060" width="17.5703125" style="74" customWidth="1"/>
    <col min="13061" max="13061" width="20.140625" style="74" customWidth="1"/>
    <col min="13062" max="13063" width="20.42578125" style="74" customWidth="1"/>
    <col min="13064" max="13064" width="21.140625" style="74" customWidth="1"/>
    <col min="13065" max="13065" width="17.85546875" style="74" customWidth="1"/>
    <col min="13066" max="13069" width="9.140625" style="74"/>
    <col min="13070" max="13070" width="9.85546875" style="74" bestFit="1" customWidth="1"/>
    <col min="13071" max="13312" width="9.140625" style="74"/>
    <col min="13313" max="13313" width="49.7109375" style="74" customWidth="1"/>
    <col min="13314" max="13314" width="19.5703125" style="74" customWidth="1"/>
    <col min="13315" max="13315" width="20.140625" style="74" customWidth="1"/>
    <col min="13316" max="13316" width="17.5703125" style="74" customWidth="1"/>
    <col min="13317" max="13317" width="20.140625" style="74" customWidth="1"/>
    <col min="13318" max="13319" width="20.42578125" style="74" customWidth="1"/>
    <col min="13320" max="13320" width="21.140625" style="74" customWidth="1"/>
    <col min="13321" max="13321" width="17.85546875" style="74" customWidth="1"/>
    <col min="13322" max="13325" width="9.140625" style="74"/>
    <col min="13326" max="13326" width="9.85546875" style="74" bestFit="1" customWidth="1"/>
    <col min="13327" max="13568" width="9.140625" style="74"/>
    <col min="13569" max="13569" width="49.7109375" style="74" customWidth="1"/>
    <col min="13570" max="13570" width="19.5703125" style="74" customWidth="1"/>
    <col min="13571" max="13571" width="20.140625" style="74" customWidth="1"/>
    <col min="13572" max="13572" width="17.5703125" style="74" customWidth="1"/>
    <col min="13573" max="13573" width="20.140625" style="74" customWidth="1"/>
    <col min="13574" max="13575" width="20.42578125" style="74" customWidth="1"/>
    <col min="13576" max="13576" width="21.140625" style="74" customWidth="1"/>
    <col min="13577" max="13577" width="17.85546875" style="74" customWidth="1"/>
    <col min="13578" max="13581" width="9.140625" style="74"/>
    <col min="13582" max="13582" width="9.85546875" style="74" bestFit="1" customWidth="1"/>
    <col min="13583" max="13824" width="9.140625" style="74"/>
    <col min="13825" max="13825" width="49.7109375" style="74" customWidth="1"/>
    <col min="13826" max="13826" width="19.5703125" style="74" customWidth="1"/>
    <col min="13827" max="13827" width="20.140625" style="74" customWidth="1"/>
    <col min="13828" max="13828" width="17.5703125" style="74" customWidth="1"/>
    <col min="13829" max="13829" width="20.140625" style="74" customWidth="1"/>
    <col min="13830" max="13831" width="20.42578125" style="74" customWidth="1"/>
    <col min="13832" max="13832" width="21.140625" style="74" customWidth="1"/>
    <col min="13833" max="13833" width="17.85546875" style="74" customWidth="1"/>
    <col min="13834" max="13837" width="9.140625" style="74"/>
    <col min="13838" max="13838" width="9.85546875" style="74" bestFit="1" customWidth="1"/>
    <col min="13839" max="14080" width="9.140625" style="74"/>
    <col min="14081" max="14081" width="49.7109375" style="74" customWidth="1"/>
    <col min="14082" max="14082" width="19.5703125" style="74" customWidth="1"/>
    <col min="14083" max="14083" width="20.140625" style="74" customWidth="1"/>
    <col min="14084" max="14084" width="17.5703125" style="74" customWidth="1"/>
    <col min="14085" max="14085" width="20.140625" style="74" customWidth="1"/>
    <col min="14086" max="14087" width="20.42578125" style="74" customWidth="1"/>
    <col min="14088" max="14088" width="21.140625" style="74" customWidth="1"/>
    <col min="14089" max="14089" width="17.85546875" style="74" customWidth="1"/>
    <col min="14090" max="14093" width="9.140625" style="74"/>
    <col min="14094" max="14094" width="9.85546875" style="74" bestFit="1" customWidth="1"/>
    <col min="14095" max="14336" width="9.140625" style="74"/>
    <col min="14337" max="14337" width="49.7109375" style="74" customWidth="1"/>
    <col min="14338" max="14338" width="19.5703125" style="74" customWidth="1"/>
    <col min="14339" max="14339" width="20.140625" style="74" customWidth="1"/>
    <col min="14340" max="14340" width="17.5703125" style="74" customWidth="1"/>
    <col min="14341" max="14341" width="20.140625" style="74" customWidth="1"/>
    <col min="14342" max="14343" width="20.42578125" style="74" customWidth="1"/>
    <col min="14344" max="14344" width="21.140625" style="74" customWidth="1"/>
    <col min="14345" max="14345" width="17.85546875" style="74" customWidth="1"/>
    <col min="14346" max="14349" width="9.140625" style="74"/>
    <col min="14350" max="14350" width="9.85546875" style="74" bestFit="1" customWidth="1"/>
    <col min="14351" max="14592" width="9.140625" style="74"/>
    <col min="14593" max="14593" width="49.7109375" style="74" customWidth="1"/>
    <col min="14594" max="14594" width="19.5703125" style="74" customWidth="1"/>
    <col min="14595" max="14595" width="20.140625" style="74" customWidth="1"/>
    <col min="14596" max="14596" width="17.5703125" style="74" customWidth="1"/>
    <col min="14597" max="14597" width="20.140625" style="74" customWidth="1"/>
    <col min="14598" max="14599" width="20.42578125" style="74" customWidth="1"/>
    <col min="14600" max="14600" width="21.140625" style="74" customWidth="1"/>
    <col min="14601" max="14601" width="17.85546875" style="74" customWidth="1"/>
    <col min="14602" max="14605" width="9.140625" style="74"/>
    <col min="14606" max="14606" width="9.85546875" style="74" bestFit="1" customWidth="1"/>
    <col min="14607" max="14848" width="9.140625" style="74"/>
    <col min="14849" max="14849" width="49.7109375" style="74" customWidth="1"/>
    <col min="14850" max="14850" width="19.5703125" style="74" customWidth="1"/>
    <col min="14851" max="14851" width="20.140625" style="74" customWidth="1"/>
    <col min="14852" max="14852" width="17.5703125" style="74" customWidth="1"/>
    <col min="14853" max="14853" width="20.140625" style="74" customWidth="1"/>
    <col min="14854" max="14855" width="20.42578125" style="74" customWidth="1"/>
    <col min="14856" max="14856" width="21.140625" style="74" customWidth="1"/>
    <col min="14857" max="14857" width="17.85546875" style="74" customWidth="1"/>
    <col min="14858" max="14861" width="9.140625" style="74"/>
    <col min="14862" max="14862" width="9.85546875" style="74" bestFit="1" customWidth="1"/>
    <col min="14863" max="15104" width="9.140625" style="74"/>
    <col min="15105" max="15105" width="49.7109375" style="74" customWidth="1"/>
    <col min="15106" max="15106" width="19.5703125" style="74" customWidth="1"/>
    <col min="15107" max="15107" width="20.140625" style="74" customWidth="1"/>
    <col min="15108" max="15108" width="17.5703125" style="74" customWidth="1"/>
    <col min="15109" max="15109" width="20.140625" style="74" customWidth="1"/>
    <col min="15110" max="15111" width="20.42578125" style="74" customWidth="1"/>
    <col min="15112" max="15112" width="21.140625" style="74" customWidth="1"/>
    <col min="15113" max="15113" width="17.85546875" style="74" customWidth="1"/>
    <col min="15114" max="15117" width="9.140625" style="74"/>
    <col min="15118" max="15118" width="9.85546875" style="74" bestFit="1" customWidth="1"/>
    <col min="15119" max="15360" width="9.140625" style="74"/>
    <col min="15361" max="15361" width="49.7109375" style="74" customWidth="1"/>
    <col min="15362" max="15362" width="19.5703125" style="74" customWidth="1"/>
    <col min="15363" max="15363" width="20.140625" style="74" customWidth="1"/>
    <col min="15364" max="15364" width="17.5703125" style="74" customWidth="1"/>
    <col min="15365" max="15365" width="20.140625" style="74" customWidth="1"/>
    <col min="15366" max="15367" width="20.42578125" style="74" customWidth="1"/>
    <col min="15368" max="15368" width="21.140625" style="74" customWidth="1"/>
    <col min="15369" max="15369" width="17.85546875" style="74" customWidth="1"/>
    <col min="15370" max="15373" width="9.140625" style="74"/>
    <col min="15374" max="15374" width="9.85546875" style="74" bestFit="1" customWidth="1"/>
    <col min="15375" max="15616" width="9.140625" style="74"/>
    <col min="15617" max="15617" width="49.7109375" style="74" customWidth="1"/>
    <col min="15618" max="15618" width="19.5703125" style="74" customWidth="1"/>
    <col min="15619" max="15619" width="20.140625" style="74" customWidth="1"/>
    <col min="15620" max="15620" width="17.5703125" style="74" customWidth="1"/>
    <col min="15621" max="15621" width="20.140625" style="74" customWidth="1"/>
    <col min="15622" max="15623" width="20.42578125" style="74" customWidth="1"/>
    <col min="15624" max="15624" width="21.140625" style="74" customWidth="1"/>
    <col min="15625" max="15625" width="17.85546875" style="74" customWidth="1"/>
    <col min="15626" max="15629" width="9.140625" style="74"/>
    <col min="15630" max="15630" width="9.85546875" style="74" bestFit="1" customWidth="1"/>
    <col min="15631" max="15872" width="9.140625" style="74"/>
    <col min="15873" max="15873" width="49.7109375" style="74" customWidth="1"/>
    <col min="15874" max="15874" width="19.5703125" style="74" customWidth="1"/>
    <col min="15875" max="15875" width="20.140625" style="74" customWidth="1"/>
    <col min="15876" max="15876" width="17.5703125" style="74" customWidth="1"/>
    <col min="15877" max="15877" width="20.140625" style="74" customWidth="1"/>
    <col min="15878" max="15879" width="20.42578125" style="74" customWidth="1"/>
    <col min="15880" max="15880" width="21.140625" style="74" customWidth="1"/>
    <col min="15881" max="15881" width="17.85546875" style="74" customWidth="1"/>
    <col min="15882" max="15885" width="9.140625" style="74"/>
    <col min="15886" max="15886" width="9.85546875" style="74" bestFit="1" customWidth="1"/>
    <col min="15887" max="16128" width="9.140625" style="74"/>
    <col min="16129" max="16129" width="49.7109375" style="74" customWidth="1"/>
    <col min="16130" max="16130" width="19.5703125" style="74" customWidth="1"/>
    <col min="16131" max="16131" width="20.140625" style="74" customWidth="1"/>
    <col min="16132" max="16132" width="17.5703125" style="74" customWidth="1"/>
    <col min="16133" max="16133" width="20.140625" style="74" customWidth="1"/>
    <col min="16134" max="16135" width="20.42578125" style="74" customWidth="1"/>
    <col min="16136" max="16136" width="21.140625" style="74" customWidth="1"/>
    <col min="16137" max="16137" width="17.85546875" style="74" customWidth="1"/>
    <col min="16138" max="16141" width="9.140625" style="74"/>
    <col min="16142" max="16142" width="9.85546875" style="74" bestFit="1" customWidth="1"/>
    <col min="16143" max="16384" width="9.140625" style="74"/>
  </cols>
  <sheetData>
    <row r="1" spans="1:9" ht="15">
      <c r="A1" s="382"/>
      <c r="B1" s="382"/>
      <c r="C1" s="382"/>
      <c r="D1" s="382"/>
      <c r="E1" s="382"/>
      <c r="F1" s="382"/>
      <c r="G1" s="382"/>
      <c r="H1" s="382"/>
      <c r="I1" s="382"/>
    </row>
    <row r="2" spans="1:9" ht="15">
      <c r="A2" s="553" t="s">
        <v>707</v>
      </c>
      <c r="B2" s="553"/>
      <c r="C2" s="553"/>
      <c r="D2" s="553"/>
      <c r="E2" s="553"/>
      <c r="F2" s="553"/>
      <c r="G2" s="553"/>
      <c r="H2" s="553"/>
      <c r="I2" s="553"/>
    </row>
    <row r="3" spans="1:9" ht="15">
      <c r="A3" s="553" t="s">
        <v>967</v>
      </c>
      <c r="B3" s="553"/>
      <c r="C3" s="553"/>
      <c r="D3" s="553"/>
      <c r="E3" s="553"/>
      <c r="F3" s="553"/>
      <c r="G3" s="553"/>
      <c r="H3" s="553"/>
      <c r="I3" s="553"/>
    </row>
    <row r="4" spans="1:9" ht="15">
      <c r="A4" s="554" t="s">
        <v>640</v>
      </c>
      <c r="B4" s="554"/>
      <c r="C4" s="554"/>
      <c r="D4" s="554"/>
      <c r="E4" s="554"/>
      <c r="F4" s="554"/>
      <c r="G4" s="554"/>
      <c r="H4" s="554"/>
      <c r="I4" s="554"/>
    </row>
    <row r="5" spans="1:9" ht="15">
      <c r="A5" s="383"/>
      <c r="B5" s="383"/>
      <c r="C5" s="384"/>
      <c r="D5" s="384"/>
      <c r="E5" s="384"/>
      <c r="F5" s="382"/>
      <c r="G5" s="382"/>
      <c r="H5" s="382"/>
      <c r="I5" s="382"/>
    </row>
    <row r="6" spans="1:9" ht="17.25" customHeight="1">
      <c r="A6" s="385" t="s">
        <v>617</v>
      </c>
      <c r="B6" s="650" t="s">
        <v>600</v>
      </c>
      <c r="C6" s="650"/>
      <c r="D6" s="650"/>
      <c r="E6" s="650"/>
      <c r="F6" s="650"/>
      <c r="G6" s="650"/>
      <c r="H6" s="650"/>
      <c r="I6" s="650"/>
    </row>
    <row r="7" spans="1:9" ht="15">
      <c r="A7" s="651" t="s">
        <v>601</v>
      </c>
      <c r="B7" s="652"/>
      <c r="C7" s="652"/>
      <c r="D7" s="652"/>
      <c r="E7" s="652"/>
      <c r="F7" s="652"/>
      <c r="G7" s="652"/>
      <c r="H7" s="652"/>
      <c r="I7" s="653"/>
    </row>
    <row r="8" spans="1:9" ht="45" customHeight="1">
      <c r="A8" s="145" t="s">
        <v>618</v>
      </c>
      <c r="B8" s="654" t="s">
        <v>708</v>
      </c>
      <c r="C8" s="655"/>
      <c r="D8" s="655"/>
      <c r="E8" s="655"/>
      <c r="F8" s="655"/>
      <c r="G8" s="655"/>
      <c r="H8" s="655"/>
      <c r="I8" s="656"/>
    </row>
    <row r="9" spans="1:9" ht="17.25" customHeight="1">
      <c r="A9" s="145" t="s">
        <v>619</v>
      </c>
      <c r="B9" s="650" t="s">
        <v>709</v>
      </c>
      <c r="C9" s="650"/>
      <c r="D9" s="650"/>
      <c r="E9" s="650"/>
      <c r="F9" s="650"/>
      <c r="G9" s="650"/>
      <c r="H9" s="650"/>
      <c r="I9" s="657"/>
    </row>
    <row r="10" spans="1:9" ht="60" customHeight="1">
      <c r="A10" s="145" t="s">
        <v>620</v>
      </c>
      <c r="B10" s="650" t="s">
        <v>710</v>
      </c>
      <c r="C10" s="650"/>
      <c r="D10" s="650"/>
      <c r="E10" s="650"/>
      <c r="F10" s="650"/>
      <c r="G10" s="650"/>
      <c r="H10" s="650"/>
      <c r="I10" s="657"/>
    </row>
    <row r="11" spans="1:9" ht="15" customHeight="1">
      <c r="A11" s="145" t="s">
        <v>602</v>
      </c>
      <c r="B11" s="658"/>
      <c r="C11" s="658"/>
      <c r="D11" s="658"/>
      <c r="E11" s="658"/>
      <c r="F11" s="658"/>
      <c r="G11" s="658"/>
      <c r="H11" s="658"/>
      <c r="I11" s="659"/>
    </row>
    <row r="12" spans="1:9" ht="17.25">
      <c r="A12" s="145" t="s">
        <v>621</v>
      </c>
      <c r="B12" s="637" t="s">
        <v>603</v>
      </c>
      <c r="C12" s="637"/>
      <c r="D12" s="637"/>
      <c r="E12" s="637" t="s">
        <v>604</v>
      </c>
      <c r="F12" s="637"/>
      <c r="G12" s="637"/>
      <c r="H12" s="637" t="s">
        <v>605</v>
      </c>
      <c r="I12" s="638"/>
    </row>
    <row r="13" spans="1:9">
      <c r="A13" s="146"/>
      <c r="B13" s="639" t="s">
        <v>606</v>
      </c>
      <c r="C13" s="639"/>
      <c r="D13" s="639"/>
      <c r="E13" s="147" t="s">
        <v>607</v>
      </c>
      <c r="F13" s="147" t="s">
        <v>711</v>
      </c>
      <c r="G13" s="147" t="s">
        <v>712</v>
      </c>
      <c r="H13" s="640" t="s">
        <v>713</v>
      </c>
      <c r="I13" s="641"/>
    </row>
    <row r="14" spans="1:9" ht="15" customHeight="1">
      <c r="A14" s="148" t="s">
        <v>608</v>
      </c>
      <c r="B14" s="642" t="s">
        <v>609</v>
      </c>
      <c r="C14" s="642"/>
      <c r="D14" s="642"/>
      <c r="E14" s="642"/>
      <c r="F14" s="642"/>
      <c r="G14" s="642"/>
      <c r="H14" s="642"/>
      <c r="I14" s="643"/>
    </row>
    <row r="15" spans="1:9">
      <c r="A15" s="149">
        <v>1</v>
      </c>
      <c r="B15" s="150">
        <v>2</v>
      </c>
      <c r="C15" s="150">
        <v>3</v>
      </c>
      <c r="D15" s="150">
        <v>4</v>
      </c>
      <c r="E15" s="150">
        <v>5</v>
      </c>
      <c r="F15" s="150">
        <v>6</v>
      </c>
      <c r="G15" s="150"/>
      <c r="H15" s="150"/>
      <c r="I15" s="190"/>
    </row>
    <row r="16" spans="1:9">
      <c r="A16" s="149"/>
      <c r="B16" s="188" t="s">
        <v>610</v>
      </c>
      <c r="C16" s="188" t="s">
        <v>611</v>
      </c>
      <c r="D16" s="188" t="s">
        <v>612</v>
      </c>
      <c r="E16" s="188" t="s">
        <v>613</v>
      </c>
      <c r="F16" s="188" t="s">
        <v>614</v>
      </c>
      <c r="G16" s="188"/>
      <c r="H16" s="188"/>
      <c r="I16" s="190"/>
    </row>
    <row r="17" spans="1:9">
      <c r="A17" s="146" t="s">
        <v>615</v>
      </c>
      <c r="B17" s="189">
        <v>800</v>
      </c>
      <c r="C17" s="189">
        <v>800</v>
      </c>
      <c r="D17" s="189">
        <v>800</v>
      </c>
      <c r="E17" s="189">
        <v>800</v>
      </c>
      <c r="F17" s="189">
        <v>800</v>
      </c>
      <c r="G17" s="189"/>
      <c r="H17" s="189"/>
      <c r="I17" s="151"/>
    </row>
    <row r="18" spans="1:9">
      <c r="A18" s="146" t="s">
        <v>616</v>
      </c>
      <c r="B18" s="386">
        <v>45850</v>
      </c>
      <c r="C18" s="222" t="s">
        <v>714</v>
      </c>
      <c r="D18" s="222">
        <v>45962</v>
      </c>
      <c r="E18" s="222">
        <v>45962</v>
      </c>
      <c r="F18" s="222">
        <v>46054</v>
      </c>
      <c r="G18" s="152"/>
      <c r="H18" s="152"/>
      <c r="I18" s="151"/>
    </row>
    <row r="19" spans="1:9" ht="16.5">
      <c r="A19" s="146" t="s">
        <v>622</v>
      </c>
      <c r="B19" s="660" t="s">
        <v>715</v>
      </c>
      <c r="C19" s="661"/>
      <c r="D19" s="661"/>
      <c r="E19" s="661"/>
      <c r="F19" s="661"/>
      <c r="G19" s="661"/>
      <c r="H19" s="662"/>
      <c r="I19" s="151"/>
    </row>
    <row r="20" spans="1:9" ht="16.5">
      <c r="A20" s="146" t="s">
        <v>623</v>
      </c>
      <c r="B20" s="639" t="s">
        <v>716</v>
      </c>
      <c r="C20" s="639"/>
      <c r="D20" s="639"/>
      <c r="E20" s="639"/>
      <c r="F20" s="639"/>
      <c r="G20" s="639"/>
      <c r="H20" s="639"/>
      <c r="I20" s="151"/>
    </row>
    <row r="21" spans="1:9">
      <c r="A21" s="146" t="s">
        <v>624</v>
      </c>
      <c r="B21" s="189">
        <v>247</v>
      </c>
      <c r="C21" s="189">
        <v>247</v>
      </c>
      <c r="D21" s="189">
        <v>247</v>
      </c>
      <c r="E21" s="189">
        <v>247</v>
      </c>
      <c r="F21" s="189">
        <v>247</v>
      </c>
      <c r="G21" s="189"/>
      <c r="H21" s="189"/>
      <c r="I21" s="151"/>
    </row>
    <row r="22" spans="1:9">
      <c r="A22" s="146" t="s">
        <v>625</v>
      </c>
      <c r="B22" s="73"/>
      <c r="C22" s="73"/>
      <c r="D22" s="73"/>
      <c r="E22" s="73"/>
      <c r="F22" s="73"/>
      <c r="G22" s="73"/>
      <c r="H22" s="73"/>
      <c r="I22" s="151"/>
    </row>
    <row r="23" spans="1:9">
      <c r="A23" s="146" t="s">
        <v>626</v>
      </c>
      <c r="B23" s="639">
        <v>565</v>
      </c>
      <c r="C23" s="639"/>
      <c r="D23" s="639"/>
      <c r="E23" s="639"/>
      <c r="F23" s="639"/>
      <c r="G23" s="639"/>
      <c r="H23" s="639"/>
      <c r="I23" s="151"/>
    </row>
    <row r="24" spans="1:9">
      <c r="A24" s="146" t="s">
        <v>627</v>
      </c>
      <c r="B24" s="639">
        <v>593</v>
      </c>
      <c r="C24" s="639"/>
      <c r="D24" s="639"/>
      <c r="E24" s="639"/>
      <c r="F24" s="639"/>
      <c r="G24" s="639"/>
      <c r="H24" s="639"/>
      <c r="I24" s="151"/>
    </row>
    <row r="25" spans="1:9" ht="15" customHeight="1">
      <c r="A25" s="73" t="s">
        <v>717</v>
      </c>
      <c r="B25" s="223"/>
      <c r="C25" s="223"/>
      <c r="D25" s="223"/>
      <c r="E25" s="223">
        <v>2019.4</v>
      </c>
      <c r="F25" s="223"/>
      <c r="G25" s="223"/>
      <c r="H25" s="223"/>
      <c r="I25" s="224"/>
    </row>
    <row r="26" spans="1:9" ht="15">
      <c r="A26" s="146" t="s">
        <v>628</v>
      </c>
      <c r="B26" s="639"/>
      <c r="C26" s="639"/>
      <c r="D26" s="639"/>
      <c r="E26" s="639"/>
      <c r="F26" s="639"/>
      <c r="G26" s="639"/>
      <c r="H26" s="639"/>
      <c r="I26" s="151"/>
    </row>
    <row r="27" spans="1:9">
      <c r="A27" s="146" t="s">
        <v>629</v>
      </c>
      <c r="B27" s="639" t="s">
        <v>718</v>
      </c>
      <c r="C27" s="639"/>
      <c r="D27" s="639"/>
      <c r="E27" s="639"/>
      <c r="F27" s="639"/>
      <c r="G27" s="639"/>
      <c r="H27" s="639"/>
      <c r="I27" s="151"/>
    </row>
    <row r="28" spans="1:9">
      <c r="A28" s="146" t="s">
        <v>630</v>
      </c>
      <c r="B28" s="645">
        <v>0.01</v>
      </c>
      <c r="C28" s="639"/>
      <c r="D28" s="639"/>
      <c r="E28" s="639"/>
      <c r="F28" s="639"/>
      <c r="G28" s="639"/>
      <c r="H28" s="639"/>
      <c r="I28" s="151"/>
    </row>
    <row r="29" spans="1:9">
      <c r="A29" s="146" t="s">
        <v>631</v>
      </c>
      <c r="B29" s="189">
        <v>4530</v>
      </c>
      <c r="C29" s="189">
        <v>4530</v>
      </c>
      <c r="D29" s="189">
        <v>4530</v>
      </c>
      <c r="E29" s="189">
        <v>4530</v>
      </c>
      <c r="F29" s="189">
        <v>4530</v>
      </c>
      <c r="G29" s="189"/>
      <c r="H29" s="189"/>
      <c r="I29" s="151"/>
    </row>
    <row r="30" spans="1:9">
      <c r="A30" s="146" t="s">
        <v>632</v>
      </c>
      <c r="B30" s="639" t="s">
        <v>719</v>
      </c>
      <c r="C30" s="639"/>
      <c r="D30" s="639"/>
      <c r="E30" s="639"/>
      <c r="F30" s="639"/>
      <c r="G30" s="639"/>
      <c r="H30" s="639"/>
      <c r="I30" s="151"/>
    </row>
    <row r="31" spans="1:9" ht="15" thickBot="1">
      <c r="A31" s="153" t="s">
        <v>633</v>
      </c>
      <c r="B31" s="646" t="s">
        <v>720</v>
      </c>
      <c r="C31" s="646"/>
      <c r="D31" s="646"/>
      <c r="E31" s="646"/>
      <c r="F31" s="646"/>
      <c r="G31" s="646"/>
      <c r="H31" s="646"/>
      <c r="I31" s="154"/>
    </row>
    <row r="32" spans="1:9">
      <c r="A32" s="155"/>
    </row>
    <row r="33" spans="1:10" ht="38.25" customHeight="1">
      <c r="A33" s="649" t="s">
        <v>721</v>
      </c>
      <c r="B33" s="649"/>
      <c r="C33" s="649"/>
      <c r="D33" s="649"/>
      <c r="E33" s="649"/>
      <c r="F33" s="649"/>
      <c r="G33" s="649"/>
      <c r="H33" s="649"/>
    </row>
    <row r="34" spans="1:10" ht="19.5" customHeight="1">
      <c r="A34" s="647" t="s">
        <v>634</v>
      </c>
      <c r="B34" s="647"/>
      <c r="C34" s="647"/>
      <c r="D34" s="647"/>
      <c r="E34" s="647"/>
      <c r="F34" s="647"/>
      <c r="G34" s="647"/>
      <c r="H34" s="647"/>
    </row>
    <row r="35" spans="1:10" ht="16.5">
      <c r="A35" s="648" t="s">
        <v>635</v>
      </c>
      <c r="B35" s="648"/>
      <c r="C35" s="648"/>
      <c r="D35" s="648"/>
      <c r="E35" s="648"/>
      <c r="F35" s="648"/>
      <c r="G35" s="648"/>
      <c r="H35" s="648"/>
    </row>
    <row r="36" spans="1:10" ht="16.5">
      <c r="A36" s="648" t="s">
        <v>636</v>
      </c>
      <c r="B36" s="648"/>
      <c r="C36" s="648"/>
      <c r="D36" s="648"/>
      <c r="E36" s="648"/>
      <c r="F36" s="648"/>
      <c r="G36" s="648"/>
      <c r="H36" s="648"/>
    </row>
    <row r="37" spans="1:10" ht="16.5">
      <c r="A37" s="156" t="s">
        <v>637</v>
      </c>
    </row>
    <row r="38" spans="1:10" ht="16.5">
      <c r="A38" s="156" t="s">
        <v>638</v>
      </c>
    </row>
    <row r="39" spans="1:10" ht="16.5">
      <c r="A39" s="156" t="s">
        <v>639</v>
      </c>
    </row>
    <row r="40" spans="1:10">
      <c r="A40" s="157" t="s">
        <v>722</v>
      </c>
    </row>
    <row r="42" spans="1:10" ht="15">
      <c r="G42" s="644"/>
      <c r="H42" s="644"/>
      <c r="I42" s="644"/>
      <c r="J42" s="644"/>
    </row>
  </sheetData>
  <mergeCells count="29">
    <mergeCell ref="A2:I2"/>
    <mergeCell ref="A3:I3"/>
    <mergeCell ref="A4:I4"/>
    <mergeCell ref="B24:H24"/>
    <mergeCell ref="A33:H33"/>
    <mergeCell ref="B6:I6"/>
    <mergeCell ref="A7:I7"/>
    <mergeCell ref="B8:I8"/>
    <mergeCell ref="B9:I9"/>
    <mergeCell ref="B10:I10"/>
    <mergeCell ref="B11:I11"/>
    <mergeCell ref="B12:D12"/>
    <mergeCell ref="B19:H19"/>
    <mergeCell ref="B20:H20"/>
    <mergeCell ref="B23:H23"/>
    <mergeCell ref="E12:G12"/>
    <mergeCell ref="H12:I12"/>
    <mergeCell ref="B13:D13"/>
    <mergeCell ref="H13:I13"/>
    <mergeCell ref="B14:I14"/>
    <mergeCell ref="G42:J42"/>
    <mergeCell ref="B26:H26"/>
    <mergeCell ref="B27:H27"/>
    <mergeCell ref="B28:H28"/>
    <mergeCell ref="B30:H30"/>
    <mergeCell ref="B31:H31"/>
    <mergeCell ref="A34:H34"/>
    <mergeCell ref="A35:H35"/>
    <mergeCell ref="A36:H36"/>
  </mergeCells>
  <pageMargins left="0.2" right="0.2" top="0.75" bottom="0.25" header="0.3" footer="0.3"/>
  <pageSetup paperSize="9" scale="70" orientation="landscape" r:id="rId1"/>
</worksheet>
</file>

<file path=xl/worksheets/sheet22.xml><?xml version="1.0" encoding="utf-8"?>
<worksheet xmlns="http://schemas.openxmlformats.org/spreadsheetml/2006/main" xmlns:r="http://schemas.openxmlformats.org/officeDocument/2006/relationships">
  <sheetPr>
    <tabColor rgb="FFFF0000"/>
    <pageSetUpPr fitToPage="1"/>
  </sheetPr>
  <dimension ref="B1:M14"/>
  <sheetViews>
    <sheetView showGridLines="0" zoomScale="80" zoomScaleNormal="80" zoomScaleSheetLayoutView="80" workbookViewId="0">
      <selection activeCell="G10" sqref="G10"/>
    </sheetView>
  </sheetViews>
  <sheetFormatPr defaultColWidth="9.140625" defaultRowHeight="14.25"/>
  <cols>
    <col min="1" max="1" width="9.140625" style="88"/>
    <col min="2" max="2" width="21.7109375" style="88" customWidth="1"/>
    <col min="3" max="3" width="24.85546875" style="88" customWidth="1"/>
    <col min="4" max="5" width="21" style="88" customWidth="1"/>
    <col min="6" max="6" width="22.85546875" style="88" customWidth="1"/>
    <col min="7" max="7" width="20" style="88" customWidth="1"/>
    <col min="8" max="8" width="17.28515625" style="88" customWidth="1"/>
    <col min="9" max="9" width="22.5703125" style="88" customWidth="1"/>
    <col min="10" max="258" width="9.140625" style="88"/>
    <col min="259" max="259" width="21.7109375" style="88" customWidth="1"/>
    <col min="260" max="260" width="27.85546875" style="88" customWidth="1"/>
    <col min="261" max="261" width="33.85546875" style="88" customWidth="1"/>
    <col min="262" max="262" width="60" style="88" customWidth="1"/>
    <col min="263" max="263" width="164.140625" style="88" customWidth="1"/>
    <col min="264" max="264" width="24.42578125" style="88" customWidth="1"/>
    <col min="265" max="265" width="10.7109375" style="88" bestFit="1" customWidth="1"/>
    <col min="266" max="514" width="9.140625" style="88"/>
    <col min="515" max="515" width="21.7109375" style="88" customWidth="1"/>
    <col min="516" max="516" width="27.85546875" style="88" customWidth="1"/>
    <col min="517" max="517" width="33.85546875" style="88" customWidth="1"/>
    <col min="518" max="518" width="60" style="88" customWidth="1"/>
    <col min="519" max="519" width="164.140625" style="88" customWidth="1"/>
    <col min="520" max="520" width="24.42578125" style="88" customWidth="1"/>
    <col min="521" max="521" width="10.7109375" style="88" bestFit="1" customWidth="1"/>
    <col min="522" max="770" width="9.140625" style="88"/>
    <col min="771" max="771" width="21.7109375" style="88" customWidth="1"/>
    <col min="772" max="772" width="27.85546875" style="88" customWidth="1"/>
    <col min="773" max="773" width="33.85546875" style="88" customWidth="1"/>
    <col min="774" max="774" width="60" style="88" customWidth="1"/>
    <col min="775" max="775" width="164.140625" style="88" customWidth="1"/>
    <col min="776" max="776" width="24.42578125" style="88" customWidth="1"/>
    <col min="777" max="777" width="10.7109375" style="88" bestFit="1" customWidth="1"/>
    <col min="778" max="1026" width="9.140625" style="88"/>
    <col min="1027" max="1027" width="21.7109375" style="88" customWidth="1"/>
    <col min="1028" max="1028" width="27.85546875" style="88" customWidth="1"/>
    <col min="1029" max="1029" width="33.85546875" style="88" customWidth="1"/>
    <col min="1030" max="1030" width="60" style="88" customWidth="1"/>
    <col min="1031" max="1031" width="164.140625" style="88" customWidth="1"/>
    <col min="1032" max="1032" width="24.42578125" style="88" customWidth="1"/>
    <col min="1033" max="1033" width="10.7109375" style="88" bestFit="1" customWidth="1"/>
    <col min="1034" max="1282" width="9.140625" style="88"/>
    <col min="1283" max="1283" width="21.7109375" style="88" customWidth="1"/>
    <col min="1284" max="1284" width="27.85546875" style="88" customWidth="1"/>
    <col min="1285" max="1285" width="33.85546875" style="88" customWidth="1"/>
    <col min="1286" max="1286" width="60" style="88" customWidth="1"/>
    <col min="1287" max="1287" width="164.140625" style="88" customWidth="1"/>
    <col min="1288" max="1288" width="24.42578125" style="88" customWidth="1"/>
    <col min="1289" max="1289" width="10.7109375" style="88" bestFit="1" customWidth="1"/>
    <col min="1290" max="1538" width="9.140625" style="88"/>
    <col min="1539" max="1539" width="21.7109375" style="88" customWidth="1"/>
    <col min="1540" max="1540" width="27.85546875" style="88" customWidth="1"/>
    <col min="1541" max="1541" width="33.85546875" style="88" customWidth="1"/>
    <col min="1542" max="1542" width="60" style="88" customWidth="1"/>
    <col min="1543" max="1543" width="164.140625" style="88" customWidth="1"/>
    <col min="1544" max="1544" width="24.42578125" style="88" customWidth="1"/>
    <col min="1545" max="1545" width="10.7109375" style="88" bestFit="1" customWidth="1"/>
    <col min="1546" max="1794" width="9.140625" style="88"/>
    <col min="1795" max="1795" width="21.7109375" style="88" customWidth="1"/>
    <col min="1796" max="1796" width="27.85546875" style="88" customWidth="1"/>
    <col min="1797" max="1797" width="33.85546875" style="88" customWidth="1"/>
    <col min="1798" max="1798" width="60" style="88" customWidth="1"/>
    <col min="1799" max="1799" width="164.140625" style="88" customWidth="1"/>
    <col min="1800" max="1800" width="24.42578125" style="88" customWidth="1"/>
    <col min="1801" max="1801" width="10.7109375" style="88" bestFit="1" customWidth="1"/>
    <col min="1802" max="2050" width="9.140625" style="88"/>
    <col min="2051" max="2051" width="21.7109375" style="88" customWidth="1"/>
    <col min="2052" max="2052" width="27.85546875" style="88" customWidth="1"/>
    <col min="2053" max="2053" width="33.85546875" style="88" customWidth="1"/>
    <col min="2054" max="2054" width="60" style="88" customWidth="1"/>
    <col min="2055" max="2055" width="164.140625" style="88" customWidth="1"/>
    <col min="2056" max="2056" width="24.42578125" style="88" customWidth="1"/>
    <col min="2057" max="2057" width="10.7109375" style="88" bestFit="1" customWidth="1"/>
    <col min="2058" max="2306" width="9.140625" style="88"/>
    <col min="2307" max="2307" width="21.7109375" style="88" customWidth="1"/>
    <col min="2308" max="2308" width="27.85546875" style="88" customWidth="1"/>
    <col min="2309" max="2309" width="33.85546875" style="88" customWidth="1"/>
    <col min="2310" max="2310" width="60" style="88" customWidth="1"/>
    <col min="2311" max="2311" width="164.140625" style="88" customWidth="1"/>
    <col min="2312" max="2312" width="24.42578125" style="88" customWidth="1"/>
    <col min="2313" max="2313" width="10.7109375" style="88" bestFit="1" customWidth="1"/>
    <col min="2314" max="2562" width="9.140625" style="88"/>
    <col min="2563" max="2563" width="21.7109375" style="88" customWidth="1"/>
    <col min="2564" max="2564" width="27.85546875" style="88" customWidth="1"/>
    <col min="2565" max="2565" width="33.85546875" style="88" customWidth="1"/>
    <col min="2566" max="2566" width="60" style="88" customWidth="1"/>
    <col min="2567" max="2567" width="164.140625" style="88" customWidth="1"/>
    <col min="2568" max="2568" width="24.42578125" style="88" customWidth="1"/>
    <col min="2569" max="2569" width="10.7109375" style="88" bestFit="1" customWidth="1"/>
    <col min="2570" max="2818" width="9.140625" style="88"/>
    <col min="2819" max="2819" width="21.7109375" style="88" customWidth="1"/>
    <col min="2820" max="2820" width="27.85546875" style="88" customWidth="1"/>
    <col min="2821" max="2821" width="33.85546875" style="88" customWidth="1"/>
    <col min="2822" max="2822" width="60" style="88" customWidth="1"/>
    <col min="2823" max="2823" width="164.140625" style="88" customWidth="1"/>
    <col min="2824" max="2824" width="24.42578125" style="88" customWidth="1"/>
    <col min="2825" max="2825" width="10.7109375" style="88" bestFit="1" customWidth="1"/>
    <col min="2826" max="3074" width="9.140625" style="88"/>
    <col min="3075" max="3075" width="21.7109375" style="88" customWidth="1"/>
    <col min="3076" max="3076" width="27.85546875" style="88" customWidth="1"/>
    <col min="3077" max="3077" width="33.85546875" style="88" customWidth="1"/>
    <col min="3078" max="3078" width="60" style="88" customWidth="1"/>
    <col min="3079" max="3079" width="164.140625" style="88" customWidth="1"/>
    <col min="3080" max="3080" width="24.42578125" style="88" customWidth="1"/>
    <col min="3081" max="3081" width="10.7109375" style="88" bestFit="1" customWidth="1"/>
    <col min="3082" max="3330" width="9.140625" style="88"/>
    <col min="3331" max="3331" width="21.7109375" style="88" customWidth="1"/>
    <col min="3332" max="3332" width="27.85546875" style="88" customWidth="1"/>
    <col min="3333" max="3333" width="33.85546875" style="88" customWidth="1"/>
    <col min="3334" max="3334" width="60" style="88" customWidth="1"/>
    <col min="3335" max="3335" width="164.140625" style="88" customWidth="1"/>
    <col min="3336" max="3336" width="24.42578125" style="88" customWidth="1"/>
    <col min="3337" max="3337" width="10.7109375" style="88" bestFit="1" customWidth="1"/>
    <col min="3338" max="3586" width="9.140625" style="88"/>
    <col min="3587" max="3587" width="21.7109375" style="88" customWidth="1"/>
    <col min="3588" max="3588" width="27.85546875" style="88" customWidth="1"/>
    <col min="3589" max="3589" width="33.85546875" style="88" customWidth="1"/>
    <col min="3590" max="3590" width="60" style="88" customWidth="1"/>
    <col min="3591" max="3591" width="164.140625" style="88" customWidth="1"/>
    <col min="3592" max="3592" width="24.42578125" style="88" customWidth="1"/>
    <col min="3593" max="3593" width="10.7109375" style="88" bestFit="1" customWidth="1"/>
    <col min="3594" max="3842" width="9.140625" style="88"/>
    <col min="3843" max="3843" width="21.7109375" style="88" customWidth="1"/>
    <col min="3844" max="3844" width="27.85546875" style="88" customWidth="1"/>
    <col min="3845" max="3845" width="33.85546875" style="88" customWidth="1"/>
    <col min="3846" max="3846" width="60" style="88" customWidth="1"/>
    <col min="3847" max="3847" width="164.140625" style="88" customWidth="1"/>
    <col min="3848" max="3848" width="24.42578125" style="88" customWidth="1"/>
    <col min="3849" max="3849" width="10.7109375" style="88" bestFit="1" customWidth="1"/>
    <col min="3850" max="4098" width="9.140625" style="88"/>
    <col min="4099" max="4099" width="21.7109375" style="88" customWidth="1"/>
    <col min="4100" max="4100" width="27.85546875" style="88" customWidth="1"/>
    <col min="4101" max="4101" width="33.85546875" style="88" customWidth="1"/>
    <col min="4102" max="4102" width="60" style="88" customWidth="1"/>
    <col min="4103" max="4103" width="164.140625" style="88" customWidth="1"/>
    <col min="4104" max="4104" width="24.42578125" style="88" customWidth="1"/>
    <col min="4105" max="4105" width="10.7109375" style="88" bestFit="1" customWidth="1"/>
    <col min="4106" max="4354" width="9.140625" style="88"/>
    <col min="4355" max="4355" width="21.7109375" style="88" customWidth="1"/>
    <col min="4356" max="4356" width="27.85546875" style="88" customWidth="1"/>
    <col min="4357" max="4357" width="33.85546875" style="88" customWidth="1"/>
    <col min="4358" max="4358" width="60" style="88" customWidth="1"/>
    <col min="4359" max="4359" width="164.140625" style="88" customWidth="1"/>
    <col min="4360" max="4360" width="24.42578125" style="88" customWidth="1"/>
    <col min="4361" max="4361" width="10.7109375" style="88" bestFit="1" customWidth="1"/>
    <col min="4362" max="4610" width="9.140625" style="88"/>
    <col min="4611" max="4611" width="21.7109375" style="88" customWidth="1"/>
    <col min="4612" max="4612" width="27.85546875" style="88" customWidth="1"/>
    <col min="4613" max="4613" width="33.85546875" style="88" customWidth="1"/>
    <col min="4614" max="4614" width="60" style="88" customWidth="1"/>
    <col min="4615" max="4615" width="164.140625" style="88" customWidth="1"/>
    <col min="4616" max="4616" width="24.42578125" style="88" customWidth="1"/>
    <col min="4617" max="4617" width="10.7109375" style="88" bestFit="1" customWidth="1"/>
    <col min="4618" max="4866" width="9.140625" style="88"/>
    <col min="4867" max="4867" width="21.7109375" style="88" customWidth="1"/>
    <col min="4868" max="4868" width="27.85546875" style="88" customWidth="1"/>
    <col min="4869" max="4869" width="33.85546875" style="88" customWidth="1"/>
    <col min="4870" max="4870" width="60" style="88" customWidth="1"/>
    <col min="4871" max="4871" width="164.140625" style="88" customWidth="1"/>
    <col min="4872" max="4872" width="24.42578125" style="88" customWidth="1"/>
    <col min="4873" max="4873" width="10.7109375" style="88" bestFit="1" customWidth="1"/>
    <col min="4874" max="5122" width="9.140625" style="88"/>
    <col min="5123" max="5123" width="21.7109375" style="88" customWidth="1"/>
    <col min="5124" max="5124" width="27.85546875" style="88" customWidth="1"/>
    <col min="5125" max="5125" width="33.85546875" style="88" customWidth="1"/>
    <col min="5126" max="5126" width="60" style="88" customWidth="1"/>
    <col min="5127" max="5127" width="164.140625" style="88" customWidth="1"/>
    <col min="5128" max="5128" width="24.42578125" style="88" customWidth="1"/>
    <col min="5129" max="5129" width="10.7109375" style="88" bestFit="1" customWidth="1"/>
    <col min="5130" max="5378" width="9.140625" style="88"/>
    <col min="5379" max="5379" width="21.7109375" style="88" customWidth="1"/>
    <col min="5380" max="5380" width="27.85546875" style="88" customWidth="1"/>
    <col min="5381" max="5381" width="33.85546875" style="88" customWidth="1"/>
    <col min="5382" max="5382" width="60" style="88" customWidth="1"/>
    <col min="5383" max="5383" width="164.140625" style="88" customWidth="1"/>
    <col min="5384" max="5384" width="24.42578125" style="88" customWidth="1"/>
    <col min="5385" max="5385" width="10.7109375" style="88" bestFit="1" customWidth="1"/>
    <col min="5386" max="5634" width="9.140625" style="88"/>
    <col min="5635" max="5635" width="21.7109375" style="88" customWidth="1"/>
    <col min="5636" max="5636" width="27.85546875" style="88" customWidth="1"/>
    <col min="5637" max="5637" width="33.85546875" style="88" customWidth="1"/>
    <col min="5638" max="5638" width="60" style="88" customWidth="1"/>
    <col min="5639" max="5639" width="164.140625" style="88" customWidth="1"/>
    <col min="5640" max="5640" width="24.42578125" style="88" customWidth="1"/>
    <col min="5641" max="5641" width="10.7109375" style="88" bestFit="1" customWidth="1"/>
    <col min="5642" max="5890" width="9.140625" style="88"/>
    <col min="5891" max="5891" width="21.7109375" style="88" customWidth="1"/>
    <col min="5892" max="5892" width="27.85546875" style="88" customWidth="1"/>
    <col min="5893" max="5893" width="33.85546875" style="88" customWidth="1"/>
    <col min="5894" max="5894" width="60" style="88" customWidth="1"/>
    <col min="5895" max="5895" width="164.140625" style="88" customWidth="1"/>
    <col min="5896" max="5896" width="24.42578125" style="88" customWidth="1"/>
    <col min="5897" max="5897" width="10.7109375" style="88" bestFit="1" customWidth="1"/>
    <col min="5898" max="6146" width="9.140625" style="88"/>
    <col min="6147" max="6147" width="21.7109375" style="88" customWidth="1"/>
    <col min="6148" max="6148" width="27.85546875" style="88" customWidth="1"/>
    <col min="6149" max="6149" width="33.85546875" style="88" customWidth="1"/>
    <col min="6150" max="6150" width="60" style="88" customWidth="1"/>
    <col min="6151" max="6151" width="164.140625" style="88" customWidth="1"/>
    <col min="6152" max="6152" width="24.42578125" style="88" customWidth="1"/>
    <col min="6153" max="6153" width="10.7109375" style="88" bestFit="1" customWidth="1"/>
    <col min="6154" max="6402" width="9.140625" style="88"/>
    <col min="6403" max="6403" width="21.7109375" style="88" customWidth="1"/>
    <col min="6404" max="6404" width="27.85546875" style="88" customWidth="1"/>
    <col min="6405" max="6405" width="33.85546875" style="88" customWidth="1"/>
    <col min="6406" max="6406" width="60" style="88" customWidth="1"/>
    <col min="6407" max="6407" width="164.140625" style="88" customWidth="1"/>
    <col min="6408" max="6408" width="24.42578125" style="88" customWidth="1"/>
    <col min="6409" max="6409" width="10.7109375" style="88" bestFit="1" customWidth="1"/>
    <col min="6410" max="6658" width="9.140625" style="88"/>
    <col min="6659" max="6659" width="21.7109375" style="88" customWidth="1"/>
    <col min="6660" max="6660" width="27.85546875" style="88" customWidth="1"/>
    <col min="6661" max="6661" width="33.85546875" style="88" customWidth="1"/>
    <col min="6662" max="6662" width="60" style="88" customWidth="1"/>
    <col min="6663" max="6663" width="164.140625" style="88" customWidth="1"/>
    <col min="6664" max="6664" width="24.42578125" style="88" customWidth="1"/>
    <col min="6665" max="6665" width="10.7109375" style="88" bestFit="1" customWidth="1"/>
    <col min="6666" max="6914" width="9.140625" style="88"/>
    <col min="6915" max="6915" width="21.7109375" style="88" customWidth="1"/>
    <col min="6916" max="6916" width="27.85546875" style="88" customWidth="1"/>
    <col min="6917" max="6917" width="33.85546875" style="88" customWidth="1"/>
    <col min="6918" max="6918" width="60" style="88" customWidth="1"/>
    <col min="6919" max="6919" width="164.140625" style="88" customWidth="1"/>
    <col min="6920" max="6920" width="24.42578125" style="88" customWidth="1"/>
    <col min="6921" max="6921" width="10.7109375" style="88" bestFit="1" customWidth="1"/>
    <col min="6922" max="7170" width="9.140625" style="88"/>
    <col min="7171" max="7171" width="21.7109375" style="88" customWidth="1"/>
    <col min="7172" max="7172" width="27.85546875" style="88" customWidth="1"/>
    <col min="7173" max="7173" width="33.85546875" style="88" customWidth="1"/>
    <col min="7174" max="7174" width="60" style="88" customWidth="1"/>
    <col min="7175" max="7175" width="164.140625" style="88" customWidth="1"/>
    <col min="7176" max="7176" width="24.42578125" style="88" customWidth="1"/>
    <col min="7177" max="7177" width="10.7109375" style="88" bestFit="1" customWidth="1"/>
    <col min="7178" max="7426" width="9.140625" style="88"/>
    <col min="7427" max="7427" width="21.7109375" style="88" customWidth="1"/>
    <col min="7428" max="7428" width="27.85546875" style="88" customWidth="1"/>
    <col min="7429" max="7429" width="33.85546875" style="88" customWidth="1"/>
    <col min="7430" max="7430" width="60" style="88" customWidth="1"/>
    <col min="7431" max="7431" width="164.140625" style="88" customWidth="1"/>
    <col min="7432" max="7432" width="24.42578125" style="88" customWidth="1"/>
    <col min="7433" max="7433" width="10.7109375" style="88" bestFit="1" customWidth="1"/>
    <col min="7434" max="7682" width="9.140625" style="88"/>
    <col min="7683" max="7683" width="21.7109375" style="88" customWidth="1"/>
    <col min="7684" max="7684" width="27.85546875" style="88" customWidth="1"/>
    <col min="7685" max="7685" width="33.85546875" style="88" customWidth="1"/>
    <col min="7686" max="7686" width="60" style="88" customWidth="1"/>
    <col min="7687" max="7687" width="164.140625" style="88" customWidth="1"/>
    <col min="7688" max="7688" width="24.42578125" style="88" customWidth="1"/>
    <col min="7689" max="7689" width="10.7109375" style="88" bestFit="1" customWidth="1"/>
    <col min="7690" max="7938" width="9.140625" style="88"/>
    <col min="7939" max="7939" width="21.7109375" style="88" customWidth="1"/>
    <col min="7940" max="7940" width="27.85546875" style="88" customWidth="1"/>
    <col min="7941" max="7941" width="33.85546875" style="88" customWidth="1"/>
    <col min="7942" max="7942" width="60" style="88" customWidth="1"/>
    <col min="7943" max="7943" width="164.140625" style="88" customWidth="1"/>
    <col min="7944" max="7944" width="24.42578125" style="88" customWidth="1"/>
    <col min="7945" max="7945" width="10.7109375" style="88" bestFit="1" customWidth="1"/>
    <col min="7946" max="8194" width="9.140625" style="88"/>
    <col min="8195" max="8195" width="21.7109375" style="88" customWidth="1"/>
    <col min="8196" max="8196" width="27.85546875" style="88" customWidth="1"/>
    <col min="8197" max="8197" width="33.85546875" style="88" customWidth="1"/>
    <col min="8198" max="8198" width="60" style="88" customWidth="1"/>
    <col min="8199" max="8199" width="164.140625" style="88" customWidth="1"/>
    <col min="8200" max="8200" width="24.42578125" style="88" customWidth="1"/>
    <col min="8201" max="8201" width="10.7109375" style="88" bestFit="1" customWidth="1"/>
    <col min="8202" max="8450" width="9.140625" style="88"/>
    <col min="8451" max="8451" width="21.7109375" style="88" customWidth="1"/>
    <col min="8452" max="8452" width="27.85546875" style="88" customWidth="1"/>
    <col min="8453" max="8453" width="33.85546875" style="88" customWidth="1"/>
    <col min="8454" max="8454" width="60" style="88" customWidth="1"/>
    <col min="8455" max="8455" width="164.140625" style="88" customWidth="1"/>
    <col min="8456" max="8456" width="24.42578125" style="88" customWidth="1"/>
    <col min="8457" max="8457" width="10.7109375" style="88" bestFit="1" customWidth="1"/>
    <col min="8458" max="8706" width="9.140625" style="88"/>
    <col min="8707" max="8707" width="21.7109375" style="88" customWidth="1"/>
    <col min="8708" max="8708" width="27.85546875" style="88" customWidth="1"/>
    <col min="8709" max="8709" width="33.85546875" style="88" customWidth="1"/>
    <col min="8710" max="8710" width="60" style="88" customWidth="1"/>
    <col min="8711" max="8711" width="164.140625" style="88" customWidth="1"/>
    <col min="8712" max="8712" width="24.42578125" style="88" customWidth="1"/>
    <col min="8713" max="8713" width="10.7109375" style="88" bestFit="1" customWidth="1"/>
    <col min="8714" max="8962" width="9.140625" style="88"/>
    <col min="8963" max="8963" width="21.7109375" style="88" customWidth="1"/>
    <col min="8964" max="8964" width="27.85546875" style="88" customWidth="1"/>
    <col min="8965" max="8965" width="33.85546875" style="88" customWidth="1"/>
    <col min="8966" max="8966" width="60" style="88" customWidth="1"/>
    <col min="8967" max="8967" width="164.140625" style="88" customWidth="1"/>
    <col min="8968" max="8968" width="24.42578125" style="88" customWidth="1"/>
    <col min="8969" max="8969" width="10.7109375" style="88" bestFit="1" customWidth="1"/>
    <col min="8970" max="9218" width="9.140625" style="88"/>
    <col min="9219" max="9219" width="21.7109375" style="88" customWidth="1"/>
    <col min="9220" max="9220" width="27.85546875" style="88" customWidth="1"/>
    <col min="9221" max="9221" width="33.85546875" style="88" customWidth="1"/>
    <col min="9222" max="9222" width="60" style="88" customWidth="1"/>
    <col min="9223" max="9223" width="164.140625" style="88" customWidth="1"/>
    <col min="9224" max="9224" width="24.42578125" style="88" customWidth="1"/>
    <col min="9225" max="9225" width="10.7109375" style="88" bestFit="1" customWidth="1"/>
    <col min="9226" max="9474" width="9.140625" style="88"/>
    <col min="9475" max="9475" width="21.7109375" style="88" customWidth="1"/>
    <col min="9476" max="9476" width="27.85546875" style="88" customWidth="1"/>
    <col min="9477" max="9477" width="33.85546875" style="88" customWidth="1"/>
    <col min="9478" max="9478" width="60" style="88" customWidth="1"/>
    <col min="9479" max="9479" width="164.140625" style="88" customWidth="1"/>
    <col min="9480" max="9480" width="24.42578125" style="88" customWidth="1"/>
    <col min="9481" max="9481" width="10.7109375" style="88" bestFit="1" customWidth="1"/>
    <col min="9482" max="9730" width="9.140625" style="88"/>
    <col min="9731" max="9731" width="21.7109375" style="88" customWidth="1"/>
    <col min="9732" max="9732" width="27.85546875" style="88" customWidth="1"/>
    <col min="9733" max="9733" width="33.85546875" style="88" customWidth="1"/>
    <col min="9734" max="9734" width="60" style="88" customWidth="1"/>
    <col min="9735" max="9735" width="164.140625" style="88" customWidth="1"/>
    <col min="9736" max="9736" width="24.42578125" style="88" customWidth="1"/>
    <col min="9737" max="9737" width="10.7109375" style="88" bestFit="1" customWidth="1"/>
    <col min="9738" max="9986" width="9.140625" style="88"/>
    <col min="9987" max="9987" width="21.7109375" style="88" customWidth="1"/>
    <col min="9988" max="9988" width="27.85546875" style="88" customWidth="1"/>
    <col min="9989" max="9989" width="33.85546875" style="88" customWidth="1"/>
    <col min="9990" max="9990" width="60" style="88" customWidth="1"/>
    <col min="9991" max="9991" width="164.140625" style="88" customWidth="1"/>
    <col min="9992" max="9992" width="24.42578125" style="88" customWidth="1"/>
    <col min="9993" max="9993" width="10.7109375" style="88" bestFit="1" customWidth="1"/>
    <col min="9994" max="10242" width="9.140625" style="88"/>
    <col min="10243" max="10243" width="21.7109375" style="88" customWidth="1"/>
    <col min="10244" max="10244" width="27.85546875" style="88" customWidth="1"/>
    <col min="10245" max="10245" width="33.85546875" style="88" customWidth="1"/>
    <col min="10246" max="10246" width="60" style="88" customWidth="1"/>
    <col min="10247" max="10247" width="164.140625" style="88" customWidth="1"/>
    <col min="10248" max="10248" width="24.42578125" style="88" customWidth="1"/>
    <col min="10249" max="10249" width="10.7109375" style="88" bestFit="1" customWidth="1"/>
    <col min="10250" max="10498" width="9.140625" style="88"/>
    <col min="10499" max="10499" width="21.7109375" style="88" customWidth="1"/>
    <col min="10500" max="10500" width="27.85546875" style="88" customWidth="1"/>
    <col min="10501" max="10501" width="33.85546875" style="88" customWidth="1"/>
    <col min="10502" max="10502" width="60" style="88" customWidth="1"/>
    <col min="10503" max="10503" width="164.140625" style="88" customWidth="1"/>
    <col min="10504" max="10504" width="24.42578125" style="88" customWidth="1"/>
    <col min="10505" max="10505" width="10.7109375" style="88" bestFit="1" customWidth="1"/>
    <col min="10506" max="10754" width="9.140625" style="88"/>
    <col min="10755" max="10755" width="21.7109375" style="88" customWidth="1"/>
    <col min="10756" max="10756" width="27.85546875" style="88" customWidth="1"/>
    <col min="10757" max="10757" width="33.85546875" style="88" customWidth="1"/>
    <col min="10758" max="10758" width="60" style="88" customWidth="1"/>
    <col min="10759" max="10759" width="164.140625" style="88" customWidth="1"/>
    <col min="10760" max="10760" width="24.42578125" style="88" customWidth="1"/>
    <col min="10761" max="10761" width="10.7109375" style="88" bestFit="1" customWidth="1"/>
    <col min="10762" max="11010" width="9.140625" style="88"/>
    <col min="11011" max="11011" width="21.7109375" style="88" customWidth="1"/>
    <col min="11012" max="11012" width="27.85546875" style="88" customWidth="1"/>
    <col min="11013" max="11013" width="33.85546875" style="88" customWidth="1"/>
    <col min="11014" max="11014" width="60" style="88" customWidth="1"/>
    <col min="11015" max="11015" width="164.140625" style="88" customWidth="1"/>
    <col min="11016" max="11016" width="24.42578125" style="88" customWidth="1"/>
    <col min="11017" max="11017" width="10.7109375" style="88" bestFit="1" customWidth="1"/>
    <col min="11018" max="11266" width="9.140625" style="88"/>
    <col min="11267" max="11267" width="21.7109375" style="88" customWidth="1"/>
    <col min="11268" max="11268" width="27.85546875" style="88" customWidth="1"/>
    <col min="11269" max="11269" width="33.85546875" style="88" customWidth="1"/>
    <col min="11270" max="11270" width="60" style="88" customWidth="1"/>
    <col min="11271" max="11271" width="164.140625" style="88" customWidth="1"/>
    <col min="11272" max="11272" width="24.42578125" style="88" customWidth="1"/>
    <col min="11273" max="11273" width="10.7109375" style="88" bestFit="1" customWidth="1"/>
    <col min="11274" max="11522" width="9.140625" style="88"/>
    <col min="11523" max="11523" width="21.7109375" style="88" customWidth="1"/>
    <col min="11524" max="11524" width="27.85546875" style="88" customWidth="1"/>
    <col min="11525" max="11525" width="33.85546875" style="88" customWidth="1"/>
    <col min="11526" max="11526" width="60" style="88" customWidth="1"/>
    <col min="11527" max="11527" width="164.140625" style="88" customWidth="1"/>
    <col min="11528" max="11528" width="24.42578125" style="88" customWidth="1"/>
    <col min="11529" max="11529" width="10.7109375" style="88" bestFit="1" customWidth="1"/>
    <col min="11530" max="11778" width="9.140625" style="88"/>
    <col min="11779" max="11779" width="21.7109375" style="88" customWidth="1"/>
    <col min="11780" max="11780" width="27.85546875" style="88" customWidth="1"/>
    <col min="11781" max="11781" width="33.85546875" style="88" customWidth="1"/>
    <col min="11782" max="11782" width="60" style="88" customWidth="1"/>
    <col min="11783" max="11783" width="164.140625" style="88" customWidth="1"/>
    <col min="11784" max="11784" width="24.42578125" style="88" customWidth="1"/>
    <col min="11785" max="11785" width="10.7109375" style="88" bestFit="1" customWidth="1"/>
    <col min="11786" max="12034" width="9.140625" style="88"/>
    <col min="12035" max="12035" width="21.7109375" style="88" customWidth="1"/>
    <col min="12036" max="12036" width="27.85546875" style="88" customWidth="1"/>
    <col min="12037" max="12037" width="33.85546875" style="88" customWidth="1"/>
    <col min="12038" max="12038" width="60" style="88" customWidth="1"/>
    <col min="12039" max="12039" width="164.140625" style="88" customWidth="1"/>
    <col min="12040" max="12040" width="24.42578125" style="88" customWidth="1"/>
    <col min="12041" max="12041" width="10.7109375" style="88" bestFit="1" customWidth="1"/>
    <col min="12042" max="12290" width="9.140625" style="88"/>
    <col min="12291" max="12291" width="21.7109375" style="88" customWidth="1"/>
    <col min="12292" max="12292" width="27.85546875" style="88" customWidth="1"/>
    <col min="12293" max="12293" width="33.85546875" style="88" customWidth="1"/>
    <col min="12294" max="12294" width="60" style="88" customWidth="1"/>
    <col min="12295" max="12295" width="164.140625" style="88" customWidth="1"/>
    <col min="12296" max="12296" width="24.42578125" style="88" customWidth="1"/>
    <col min="12297" max="12297" width="10.7109375" style="88" bestFit="1" customWidth="1"/>
    <col min="12298" max="12546" width="9.140625" style="88"/>
    <col min="12547" max="12547" width="21.7109375" style="88" customWidth="1"/>
    <col min="12548" max="12548" width="27.85546875" style="88" customWidth="1"/>
    <col min="12549" max="12549" width="33.85546875" style="88" customWidth="1"/>
    <col min="12550" max="12550" width="60" style="88" customWidth="1"/>
    <col min="12551" max="12551" width="164.140625" style="88" customWidth="1"/>
    <col min="12552" max="12552" width="24.42578125" style="88" customWidth="1"/>
    <col min="12553" max="12553" width="10.7109375" style="88" bestFit="1" customWidth="1"/>
    <col min="12554" max="12802" width="9.140625" style="88"/>
    <col min="12803" max="12803" width="21.7109375" style="88" customWidth="1"/>
    <col min="12804" max="12804" width="27.85546875" style="88" customWidth="1"/>
    <col min="12805" max="12805" width="33.85546875" style="88" customWidth="1"/>
    <col min="12806" max="12806" width="60" style="88" customWidth="1"/>
    <col min="12807" max="12807" width="164.140625" style="88" customWidth="1"/>
    <col min="12808" max="12808" width="24.42578125" style="88" customWidth="1"/>
    <col min="12809" max="12809" width="10.7109375" style="88" bestFit="1" customWidth="1"/>
    <col min="12810" max="13058" width="9.140625" style="88"/>
    <col min="13059" max="13059" width="21.7109375" style="88" customWidth="1"/>
    <col min="13060" max="13060" width="27.85546875" style="88" customWidth="1"/>
    <col min="13061" max="13061" width="33.85546875" style="88" customWidth="1"/>
    <col min="13062" max="13062" width="60" style="88" customWidth="1"/>
    <col min="13063" max="13063" width="164.140625" style="88" customWidth="1"/>
    <col min="13064" max="13064" width="24.42578125" style="88" customWidth="1"/>
    <col min="13065" max="13065" width="10.7109375" style="88" bestFit="1" customWidth="1"/>
    <col min="13066" max="13314" width="9.140625" style="88"/>
    <col min="13315" max="13315" width="21.7109375" style="88" customWidth="1"/>
    <col min="13316" max="13316" width="27.85546875" style="88" customWidth="1"/>
    <col min="13317" max="13317" width="33.85546875" style="88" customWidth="1"/>
    <col min="13318" max="13318" width="60" style="88" customWidth="1"/>
    <col min="13319" max="13319" width="164.140625" style="88" customWidth="1"/>
    <col min="13320" max="13320" width="24.42578125" style="88" customWidth="1"/>
    <col min="13321" max="13321" width="10.7109375" style="88" bestFit="1" customWidth="1"/>
    <col min="13322" max="13570" width="9.140625" style="88"/>
    <col min="13571" max="13571" width="21.7109375" style="88" customWidth="1"/>
    <col min="13572" max="13572" width="27.85546875" style="88" customWidth="1"/>
    <col min="13573" max="13573" width="33.85546875" style="88" customWidth="1"/>
    <col min="13574" max="13574" width="60" style="88" customWidth="1"/>
    <col min="13575" max="13575" width="164.140625" style="88" customWidth="1"/>
    <col min="13576" max="13576" width="24.42578125" style="88" customWidth="1"/>
    <col min="13577" max="13577" width="10.7109375" style="88" bestFit="1" customWidth="1"/>
    <col min="13578" max="13826" width="9.140625" style="88"/>
    <col min="13827" max="13827" width="21.7109375" style="88" customWidth="1"/>
    <col min="13828" max="13828" width="27.85546875" style="88" customWidth="1"/>
    <col min="13829" max="13829" width="33.85546875" style="88" customWidth="1"/>
    <col min="13830" max="13830" width="60" style="88" customWidth="1"/>
    <col min="13831" max="13831" width="164.140625" style="88" customWidth="1"/>
    <col min="13832" max="13832" width="24.42578125" style="88" customWidth="1"/>
    <col min="13833" max="13833" width="10.7109375" style="88" bestFit="1" customWidth="1"/>
    <col min="13834" max="14082" width="9.140625" style="88"/>
    <col min="14083" max="14083" width="21.7109375" style="88" customWidth="1"/>
    <col min="14084" max="14084" width="27.85546875" style="88" customWidth="1"/>
    <col min="14085" max="14085" width="33.85546875" style="88" customWidth="1"/>
    <col min="14086" max="14086" width="60" style="88" customWidth="1"/>
    <col min="14087" max="14087" width="164.140625" style="88" customWidth="1"/>
    <col min="14088" max="14088" width="24.42578125" style="88" customWidth="1"/>
    <col min="14089" max="14089" width="10.7109375" style="88" bestFit="1" customWidth="1"/>
    <col min="14090" max="14338" width="9.140625" style="88"/>
    <col min="14339" max="14339" width="21.7109375" style="88" customWidth="1"/>
    <col min="14340" max="14340" width="27.85546875" style="88" customWidth="1"/>
    <col min="14341" max="14341" width="33.85546875" style="88" customWidth="1"/>
    <col min="14342" max="14342" width="60" style="88" customWidth="1"/>
    <col min="14343" max="14343" width="164.140625" style="88" customWidth="1"/>
    <col min="14344" max="14344" width="24.42578125" style="88" customWidth="1"/>
    <col min="14345" max="14345" width="10.7109375" style="88" bestFit="1" customWidth="1"/>
    <col min="14346" max="14594" width="9.140625" style="88"/>
    <col min="14595" max="14595" width="21.7109375" style="88" customWidth="1"/>
    <col min="14596" max="14596" width="27.85546875" style="88" customWidth="1"/>
    <col min="14597" max="14597" width="33.85546875" style="88" customWidth="1"/>
    <col min="14598" max="14598" width="60" style="88" customWidth="1"/>
    <col min="14599" max="14599" width="164.140625" style="88" customWidth="1"/>
    <col min="14600" max="14600" width="24.42578125" style="88" customWidth="1"/>
    <col min="14601" max="14601" width="10.7109375" style="88" bestFit="1" customWidth="1"/>
    <col min="14602" max="14850" width="9.140625" style="88"/>
    <col min="14851" max="14851" width="21.7109375" style="88" customWidth="1"/>
    <col min="14852" max="14852" width="27.85546875" style="88" customWidth="1"/>
    <col min="14853" max="14853" width="33.85546875" style="88" customWidth="1"/>
    <col min="14854" max="14854" width="60" style="88" customWidth="1"/>
    <col min="14855" max="14855" width="164.140625" style="88" customWidth="1"/>
    <col min="14856" max="14856" width="24.42578125" style="88" customWidth="1"/>
    <col min="14857" max="14857" width="10.7109375" style="88" bestFit="1" customWidth="1"/>
    <col min="14858" max="15106" width="9.140625" style="88"/>
    <col min="15107" max="15107" width="21.7109375" style="88" customWidth="1"/>
    <col min="15108" max="15108" width="27.85546875" style="88" customWidth="1"/>
    <col min="15109" max="15109" width="33.85546875" style="88" customWidth="1"/>
    <col min="15110" max="15110" width="60" style="88" customWidth="1"/>
    <col min="15111" max="15111" width="164.140625" style="88" customWidth="1"/>
    <col min="15112" max="15112" width="24.42578125" style="88" customWidth="1"/>
    <col min="15113" max="15113" width="10.7109375" style="88" bestFit="1" customWidth="1"/>
    <col min="15114" max="15362" width="9.140625" style="88"/>
    <col min="15363" max="15363" width="21.7109375" style="88" customWidth="1"/>
    <col min="15364" max="15364" width="27.85546875" style="88" customWidth="1"/>
    <col min="15365" max="15365" width="33.85546875" style="88" customWidth="1"/>
    <col min="15366" max="15366" width="60" style="88" customWidth="1"/>
    <col min="15367" max="15367" width="164.140625" style="88" customWidth="1"/>
    <col min="15368" max="15368" width="24.42578125" style="88" customWidth="1"/>
    <col min="15369" max="15369" width="10.7109375" style="88" bestFit="1" customWidth="1"/>
    <col min="15370" max="15618" width="9.140625" style="88"/>
    <col min="15619" max="15619" width="21.7109375" style="88" customWidth="1"/>
    <col min="15620" max="15620" width="27.85546875" style="88" customWidth="1"/>
    <col min="15621" max="15621" width="33.85546875" style="88" customWidth="1"/>
    <col min="15622" max="15622" width="60" style="88" customWidth="1"/>
    <col min="15623" max="15623" width="164.140625" style="88" customWidth="1"/>
    <col min="15624" max="15624" width="24.42578125" style="88" customWidth="1"/>
    <col min="15625" max="15625" width="10.7109375" style="88" bestFit="1" customWidth="1"/>
    <col min="15626" max="15874" width="9.140625" style="88"/>
    <col min="15875" max="15875" width="21.7109375" style="88" customWidth="1"/>
    <col min="15876" max="15876" width="27.85546875" style="88" customWidth="1"/>
    <col min="15877" max="15877" width="33.85546875" style="88" customWidth="1"/>
    <col min="15878" max="15878" width="60" style="88" customWidth="1"/>
    <col min="15879" max="15879" width="164.140625" style="88" customWidth="1"/>
    <col min="15880" max="15880" width="24.42578125" style="88" customWidth="1"/>
    <col min="15881" max="15881" width="10.7109375" style="88" bestFit="1" customWidth="1"/>
    <col min="15882" max="16130" width="9.140625" style="88"/>
    <col min="16131" max="16131" width="21.7109375" style="88" customWidth="1"/>
    <col min="16132" max="16132" width="27.85546875" style="88" customWidth="1"/>
    <col min="16133" max="16133" width="33.85546875" style="88" customWidth="1"/>
    <col min="16134" max="16134" width="60" style="88" customWidth="1"/>
    <col min="16135" max="16135" width="164.140625" style="88" customWidth="1"/>
    <col min="16136" max="16136" width="24.42578125" style="88" customWidth="1"/>
    <col min="16137" max="16137" width="10.7109375" style="88" bestFit="1" customWidth="1"/>
    <col min="16138" max="16384" width="9.140625" style="88"/>
  </cols>
  <sheetData>
    <row r="1" spans="2:13">
      <c r="C1" s="107"/>
      <c r="D1" s="107"/>
    </row>
    <row r="2" spans="2:13" ht="15">
      <c r="C2" s="5"/>
      <c r="D2" s="5"/>
      <c r="E2" s="5"/>
      <c r="F2" s="39" t="s">
        <v>707</v>
      </c>
      <c r="G2" s="5"/>
      <c r="H2" s="5"/>
      <c r="I2" s="5"/>
      <c r="J2" s="5"/>
    </row>
    <row r="3" spans="2:13" ht="15">
      <c r="C3" s="5"/>
      <c r="D3" s="5"/>
      <c r="E3" s="5"/>
      <c r="F3" s="39" t="s">
        <v>1102</v>
      </c>
      <c r="G3" s="5"/>
      <c r="H3" s="5"/>
      <c r="I3" s="5"/>
      <c r="J3" s="5"/>
    </row>
    <row r="4" spans="2:13" ht="15">
      <c r="C4" s="105"/>
      <c r="D4" s="105"/>
      <c r="E4" s="105"/>
      <c r="F4" s="41" t="s">
        <v>653</v>
      </c>
      <c r="G4" s="105"/>
      <c r="H4" s="105"/>
      <c r="I4" s="105"/>
      <c r="J4" s="105"/>
    </row>
    <row r="5" spans="2:13">
      <c r="B5" s="108"/>
      <c r="C5" s="108"/>
      <c r="D5" s="108"/>
    </row>
    <row r="6" spans="2:13" s="109" customFormat="1" ht="100.5" customHeight="1">
      <c r="B6" s="186" t="s">
        <v>14</v>
      </c>
      <c r="C6" s="186" t="s">
        <v>555</v>
      </c>
      <c r="D6" s="186" t="s">
        <v>723</v>
      </c>
      <c r="E6" s="186" t="s">
        <v>1105</v>
      </c>
      <c r="F6" s="186" t="s">
        <v>1106</v>
      </c>
      <c r="G6" s="100" t="s">
        <v>724</v>
      </c>
      <c r="H6" s="186" t="s">
        <v>121</v>
      </c>
      <c r="I6" s="186" t="s">
        <v>725</v>
      </c>
    </row>
    <row r="7" spans="2:13" s="109" customFormat="1" ht="21.75" customHeight="1">
      <c r="B7" s="43" t="s">
        <v>676</v>
      </c>
      <c r="C7" s="26" t="s">
        <v>726</v>
      </c>
      <c r="D7" s="26" t="s">
        <v>727</v>
      </c>
      <c r="E7" s="26" t="s">
        <v>728</v>
      </c>
      <c r="F7" s="225" t="s">
        <v>1107</v>
      </c>
      <c r="G7" s="529">
        <v>45850</v>
      </c>
      <c r="H7" s="663" t="s">
        <v>729</v>
      </c>
      <c r="I7" s="162">
        <v>63.45</v>
      </c>
    </row>
    <row r="8" spans="2:13" s="109" customFormat="1" ht="24.75" customHeight="1">
      <c r="B8" s="43" t="s">
        <v>730</v>
      </c>
      <c r="C8" s="26" t="s">
        <v>726</v>
      </c>
      <c r="D8" s="26" t="s">
        <v>731</v>
      </c>
      <c r="E8" s="26" t="s">
        <v>728</v>
      </c>
      <c r="F8" s="225" t="s">
        <v>1107</v>
      </c>
      <c r="G8" s="529" t="s">
        <v>714</v>
      </c>
      <c r="H8" s="664"/>
      <c r="I8" s="162">
        <v>63.45</v>
      </c>
    </row>
    <row r="9" spans="2:13" s="109" customFormat="1" ht="24.75" customHeight="1">
      <c r="B9" s="43" t="s">
        <v>677</v>
      </c>
      <c r="C9" s="26" t="s">
        <v>732</v>
      </c>
      <c r="D9" s="26" t="s">
        <v>733</v>
      </c>
      <c r="E9" s="26" t="s">
        <v>734</v>
      </c>
      <c r="F9" s="225" t="s">
        <v>1107</v>
      </c>
      <c r="G9" s="226">
        <v>45962</v>
      </c>
      <c r="H9" s="664"/>
      <c r="I9" s="162">
        <v>63.45</v>
      </c>
    </row>
    <row r="10" spans="2:13" s="109" customFormat="1" ht="30" customHeight="1">
      <c r="B10" s="43" t="s">
        <v>735</v>
      </c>
      <c r="C10" s="26" t="s">
        <v>732</v>
      </c>
      <c r="D10" s="26" t="s">
        <v>736</v>
      </c>
      <c r="E10" s="26" t="s">
        <v>737</v>
      </c>
      <c r="F10" s="227" t="s">
        <v>1107</v>
      </c>
      <c r="G10" s="226">
        <v>45962</v>
      </c>
      <c r="H10" s="664"/>
      <c r="I10" s="162">
        <v>63.45</v>
      </c>
    </row>
    <row r="11" spans="2:13" s="109" customFormat="1" ht="31.5" customHeight="1">
      <c r="B11" s="43" t="s">
        <v>738</v>
      </c>
      <c r="C11" s="26" t="s">
        <v>732</v>
      </c>
      <c r="D11" s="26" t="s">
        <v>739</v>
      </c>
      <c r="E11" s="26" t="s">
        <v>740</v>
      </c>
      <c r="F11" s="227" t="s">
        <v>1107</v>
      </c>
      <c r="G11" s="226">
        <v>46054</v>
      </c>
      <c r="H11" s="665"/>
      <c r="I11" s="162">
        <v>63.45</v>
      </c>
    </row>
    <row r="12" spans="2:13" s="109" customFormat="1">
      <c r="B12" s="191"/>
      <c r="C12" s="85"/>
      <c r="D12" s="110"/>
      <c r="E12" s="110"/>
      <c r="F12" s="191"/>
      <c r="G12" s="85"/>
      <c r="H12" s="111"/>
      <c r="I12" s="112"/>
      <c r="J12" s="110"/>
      <c r="K12" s="113"/>
      <c r="M12" s="88"/>
    </row>
    <row r="13" spans="2:13" ht="15">
      <c r="B13" s="88" t="s">
        <v>554</v>
      </c>
      <c r="G13" s="666"/>
      <c r="H13" s="666"/>
      <c r="I13" s="666"/>
    </row>
    <row r="14" spans="2:13" ht="16.5" customHeight="1">
      <c r="G14" s="666"/>
      <c r="H14" s="666"/>
      <c r="I14" s="666"/>
    </row>
  </sheetData>
  <mergeCells count="2">
    <mergeCell ref="H7:H11"/>
    <mergeCell ref="G13:I14"/>
  </mergeCells>
  <pageMargins left="0.60236220500000004" right="0.34055118099999998" top="0.75" bottom="0.27559055118110198" header="0.261811024" footer="0.15748031496063"/>
  <pageSetup paperSize="9" scale="81" orientation="landscape"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2:S33"/>
  <sheetViews>
    <sheetView showGridLines="0" zoomScale="75" zoomScaleNormal="75" zoomScaleSheetLayoutView="80" workbookViewId="0">
      <selection activeCell="L24" sqref="L24"/>
    </sheetView>
  </sheetViews>
  <sheetFormatPr defaultColWidth="9.140625" defaultRowHeight="14.25"/>
  <cols>
    <col min="1" max="1" width="13" style="88" customWidth="1"/>
    <col min="2" max="2" width="24.28515625" style="413" customWidth="1"/>
    <col min="3" max="3" width="18.7109375" style="88" customWidth="1"/>
    <col min="4" max="4" width="18" style="88" customWidth="1"/>
    <col min="5" max="5" width="17.42578125" style="88" customWidth="1"/>
    <col min="6" max="6" width="16" style="88" customWidth="1"/>
    <col min="7" max="7" width="15" style="88" customWidth="1"/>
    <col min="8" max="8" width="18.42578125" style="88" customWidth="1"/>
    <col min="9" max="9" width="19.28515625" style="88" customWidth="1"/>
    <col min="10" max="10" width="14.5703125" style="88" bestFit="1" customWidth="1"/>
    <col min="11" max="11" width="16.28515625" style="88" bestFit="1" customWidth="1"/>
    <col min="12" max="14" width="14.5703125" style="88" bestFit="1" customWidth="1"/>
    <col min="15" max="15" width="17.85546875" style="88" customWidth="1"/>
    <col min="16" max="257" width="9.140625" style="88"/>
    <col min="258" max="258" width="110.28515625" style="88" customWidth="1"/>
    <col min="259" max="259" width="43.5703125" style="88" customWidth="1"/>
    <col min="260" max="260" width="35.5703125" style="88" customWidth="1"/>
    <col min="261" max="261" width="36" style="88" customWidth="1"/>
    <col min="262" max="262" width="34.85546875" style="88" customWidth="1"/>
    <col min="263" max="513" width="9.140625" style="88"/>
    <col min="514" max="514" width="110.28515625" style="88" customWidth="1"/>
    <col min="515" max="515" width="43.5703125" style="88" customWidth="1"/>
    <col min="516" max="516" width="35.5703125" style="88" customWidth="1"/>
    <col min="517" max="517" width="36" style="88" customWidth="1"/>
    <col min="518" max="518" width="34.85546875" style="88" customWidth="1"/>
    <col min="519" max="769" width="9.140625" style="88"/>
    <col min="770" max="770" width="110.28515625" style="88" customWidth="1"/>
    <col min="771" max="771" width="43.5703125" style="88" customWidth="1"/>
    <col min="772" max="772" width="35.5703125" style="88" customWidth="1"/>
    <col min="773" max="773" width="36" style="88" customWidth="1"/>
    <col min="774" max="774" width="34.85546875" style="88" customWidth="1"/>
    <col min="775" max="1025" width="9.140625" style="88"/>
    <col min="1026" max="1026" width="110.28515625" style="88" customWidth="1"/>
    <col min="1027" max="1027" width="43.5703125" style="88" customWidth="1"/>
    <col min="1028" max="1028" width="35.5703125" style="88" customWidth="1"/>
    <col min="1029" max="1029" width="36" style="88" customWidth="1"/>
    <col min="1030" max="1030" width="34.85546875" style="88" customWidth="1"/>
    <col min="1031" max="1281" width="9.140625" style="88"/>
    <col min="1282" max="1282" width="110.28515625" style="88" customWidth="1"/>
    <col min="1283" max="1283" width="43.5703125" style="88" customWidth="1"/>
    <col min="1284" max="1284" width="35.5703125" style="88" customWidth="1"/>
    <col min="1285" max="1285" width="36" style="88" customWidth="1"/>
    <col min="1286" max="1286" width="34.85546875" style="88" customWidth="1"/>
    <col min="1287" max="1537" width="9.140625" style="88"/>
    <col min="1538" max="1538" width="110.28515625" style="88" customWidth="1"/>
    <col min="1539" max="1539" width="43.5703125" style="88" customWidth="1"/>
    <col min="1540" max="1540" width="35.5703125" style="88" customWidth="1"/>
    <col min="1541" max="1541" width="36" style="88" customWidth="1"/>
    <col min="1542" max="1542" width="34.85546875" style="88" customWidth="1"/>
    <col min="1543" max="1793" width="9.140625" style="88"/>
    <col min="1794" max="1794" width="110.28515625" style="88" customWidth="1"/>
    <col min="1795" max="1795" width="43.5703125" style="88" customWidth="1"/>
    <col min="1796" max="1796" width="35.5703125" style="88" customWidth="1"/>
    <col min="1797" max="1797" width="36" style="88" customWidth="1"/>
    <col min="1798" max="1798" width="34.85546875" style="88" customWidth="1"/>
    <col min="1799" max="2049" width="9.140625" style="88"/>
    <col min="2050" max="2050" width="110.28515625" style="88" customWidth="1"/>
    <col min="2051" max="2051" width="43.5703125" style="88" customWidth="1"/>
    <col min="2052" max="2052" width="35.5703125" style="88" customWidth="1"/>
    <col min="2053" max="2053" width="36" style="88" customWidth="1"/>
    <col min="2054" max="2054" width="34.85546875" style="88" customWidth="1"/>
    <col min="2055" max="2305" width="9.140625" style="88"/>
    <col min="2306" max="2306" width="110.28515625" style="88" customWidth="1"/>
    <col min="2307" max="2307" width="43.5703125" style="88" customWidth="1"/>
    <col min="2308" max="2308" width="35.5703125" style="88" customWidth="1"/>
    <col min="2309" max="2309" width="36" style="88" customWidth="1"/>
    <col min="2310" max="2310" width="34.85546875" style="88" customWidth="1"/>
    <col min="2311" max="2561" width="9.140625" style="88"/>
    <col min="2562" max="2562" width="110.28515625" style="88" customWidth="1"/>
    <col min="2563" max="2563" width="43.5703125" style="88" customWidth="1"/>
    <col min="2564" max="2564" width="35.5703125" style="88" customWidth="1"/>
    <col min="2565" max="2565" width="36" style="88" customWidth="1"/>
    <col min="2566" max="2566" width="34.85546875" style="88" customWidth="1"/>
    <col min="2567" max="2817" width="9.140625" style="88"/>
    <col min="2818" max="2818" width="110.28515625" style="88" customWidth="1"/>
    <col min="2819" max="2819" width="43.5703125" style="88" customWidth="1"/>
    <col min="2820" max="2820" width="35.5703125" style="88" customWidth="1"/>
    <col min="2821" max="2821" width="36" style="88" customWidth="1"/>
    <col min="2822" max="2822" width="34.85546875" style="88" customWidth="1"/>
    <col min="2823" max="3073" width="9.140625" style="88"/>
    <col min="3074" max="3074" width="110.28515625" style="88" customWidth="1"/>
    <col min="3075" max="3075" width="43.5703125" style="88" customWidth="1"/>
    <col min="3076" max="3076" width="35.5703125" style="88" customWidth="1"/>
    <col min="3077" max="3077" width="36" style="88" customWidth="1"/>
    <col min="3078" max="3078" width="34.85546875" style="88" customWidth="1"/>
    <col min="3079" max="3329" width="9.140625" style="88"/>
    <col min="3330" max="3330" width="110.28515625" style="88" customWidth="1"/>
    <col min="3331" max="3331" width="43.5703125" style="88" customWidth="1"/>
    <col min="3332" max="3332" width="35.5703125" style="88" customWidth="1"/>
    <col min="3333" max="3333" width="36" style="88" customWidth="1"/>
    <col min="3334" max="3334" width="34.85546875" style="88" customWidth="1"/>
    <col min="3335" max="3585" width="9.140625" style="88"/>
    <col min="3586" max="3586" width="110.28515625" style="88" customWidth="1"/>
    <col min="3587" max="3587" width="43.5703125" style="88" customWidth="1"/>
    <col min="3588" max="3588" width="35.5703125" style="88" customWidth="1"/>
    <col min="3589" max="3589" width="36" style="88" customWidth="1"/>
    <col min="3590" max="3590" width="34.85546875" style="88" customWidth="1"/>
    <col min="3591" max="3841" width="9.140625" style="88"/>
    <col min="3842" max="3842" width="110.28515625" style="88" customWidth="1"/>
    <col min="3843" max="3843" width="43.5703125" style="88" customWidth="1"/>
    <col min="3844" max="3844" width="35.5703125" style="88" customWidth="1"/>
    <col min="3845" max="3845" width="36" style="88" customWidth="1"/>
    <col min="3846" max="3846" width="34.85546875" style="88" customWidth="1"/>
    <col min="3847" max="4097" width="9.140625" style="88"/>
    <col min="4098" max="4098" width="110.28515625" style="88" customWidth="1"/>
    <col min="4099" max="4099" width="43.5703125" style="88" customWidth="1"/>
    <col min="4100" max="4100" width="35.5703125" style="88" customWidth="1"/>
    <col min="4101" max="4101" width="36" style="88" customWidth="1"/>
    <col min="4102" max="4102" width="34.85546875" style="88" customWidth="1"/>
    <col min="4103" max="4353" width="9.140625" style="88"/>
    <col min="4354" max="4354" width="110.28515625" style="88" customWidth="1"/>
    <col min="4355" max="4355" width="43.5703125" style="88" customWidth="1"/>
    <col min="4356" max="4356" width="35.5703125" style="88" customWidth="1"/>
    <col min="4357" max="4357" width="36" style="88" customWidth="1"/>
    <col min="4358" max="4358" width="34.85546875" style="88" customWidth="1"/>
    <col min="4359" max="4609" width="9.140625" style="88"/>
    <col min="4610" max="4610" width="110.28515625" style="88" customWidth="1"/>
    <col min="4611" max="4611" width="43.5703125" style="88" customWidth="1"/>
    <col min="4612" max="4612" width="35.5703125" style="88" customWidth="1"/>
    <col min="4613" max="4613" width="36" style="88" customWidth="1"/>
    <col min="4614" max="4614" width="34.85546875" style="88" customWidth="1"/>
    <col min="4615" max="4865" width="9.140625" style="88"/>
    <col min="4866" max="4866" width="110.28515625" style="88" customWidth="1"/>
    <col min="4867" max="4867" width="43.5703125" style="88" customWidth="1"/>
    <col min="4868" max="4868" width="35.5703125" style="88" customWidth="1"/>
    <col min="4869" max="4869" width="36" style="88" customWidth="1"/>
    <col min="4870" max="4870" width="34.85546875" style="88" customWidth="1"/>
    <col min="4871" max="5121" width="9.140625" style="88"/>
    <col min="5122" max="5122" width="110.28515625" style="88" customWidth="1"/>
    <col min="5123" max="5123" width="43.5703125" style="88" customWidth="1"/>
    <col min="5124" max="5124" width="35.5703125" style="88" customWidth="1"/>
    <col min="5125" max="5125" width="36" style="88" customWidth="1"/>
    <col min="5126" max="5126" width="34.85546875" style="88" customWidth="1"/>
    <col min="5127" max="5377" width="9.140625" style="88"/>
    <col min="5378" max="5378" width="110.28515625" style="88" customWidth="1"/>
    <col min="5379" max="5379" width="43.5703125" style="88" customWidth="1"/>
    <col min="5380" max="5380" width="35.5703125" style="88" customWidth="1"/>
    <col min="5381" max="5381" width="36" style="88" customWidth="1"/>
    <col min="5382" max="5382" width="34.85546875" style="88" customWidth="1"/>
    <col min="5383" max="5633" width="9.140625" style="88"/>
    <col min="5634" max="5634" width="110.28515625" style="88" customWidth="1"/>
    <col min="5635" max="5635" width="43.5703125" style="88" customWidth="1"/>
    <col min="5636" max="5636" width="35.5703125" style="88" customWidth="1"/>
    <col min="5637" max="5637" width="36" style="88" customWidth="1"/>
    <col min="5638" max="5638" width="34.85546875" style="88" customWidth="1"/>
    <col min="5639" max="5889" width="9.140625" style="88"/>
    <col min="5890" max="5890" width="110.28515625" style="88" customWidth="1"/>
    <col min="5891" max="5891" width="43.5703125" style="88" customWidth="1"/>
    <col min="5892" max="5892" width="35.5703125" style="88" customWidth="1"/>
    <col min="5893" max="5893" width="36" style="88" customWidth="1"/>
    <col min="5894" max="5894" width="34.85546875" style="88" customWidth="1"/>
    <col min="5895" max="6145" width="9.140625" style="88"/>
    <col min="6146" max="6146" width="110.28515625" style="88" customWidth="1"/>
    <col min="6147" max="6147" width="43.5703125" style="88" customWidth="1"/>
    <col min="6148" max="6148" width="35.5703125" style="88" customWidth="1"/>
    <col min="6149" max="6149" width="36" style="88" customWidth="1"/>
    <col min="6150" max="6150" width="34.85546875" style="88" customWidth="1"/>
    <col min="6151" max="6401" width="9.140625" style="88"/>
    <col min="6402" max="6402" width="110.28515625" style="88" customWidth="1"/>
    <col min="6403" max="6403" width="43.5703125" style="88" customWidth="1"/>
    <col min="6404" max="6404" width="35.5703125" style="88" customWidth="1"/>
    <col min="6405" max="6405" width="36" style="88" customWidth="1"/>
    <col min="6406" max="6406" width="34.85546875" style="88" customWidth="1"/>
    <col min="6407" max="6657" width="9.140625" style="88"/>
    <col min="6658" max="6658" width="110.28515625" style="88" customWidth="1"/>
    <col min="6659" max="6659" width="43.5703125" style="88" customWidth="1"/>
    <col min="6660" max="6660" width="35.5703125" style="88" customWidth="1"/>
    <col min="6661" max="6661" width="36" style="88" customWidth="1"/>
    <col min="6662" max="6662" width="34.85546875" style="88" customWidth="1"/>
    <col min="6663" max="6913" width="9.140625" style="88"/>
    <col min="6914" max="6914" width="110.28515625" style="88" customWidth="1"/>
    <col min="6915" max="6915" width="43.5703125" style="88" customWidth="1"/>
    <col min="6916" max="6916" width="35.5703125" style="88" customWidth="1"/>
    <col min="6917" max="6917" width="36" style="88" customWidth="1"/>
    <col min="6918" max="6918" width="34.85546875" style="88" customWidth="1"/>
    <col min="6919" max="7169" width="9.140625" style="88"/>
    <col min="7170" max="7170" width="110.28515625" style="88" customWidth="1"/>
    <col min="7171" max="7171" width="43.5703125" style="88" customWidth="1"/>
    <col min="7172" max="7172" width="35.5703125" style="88" customWidth="1"/>
    <col min="7173" max="7173" width="36" style="88" customWidth="1"/>
    <col min="7174" max="7174" width="34.85546875" style="88" customWidth="1"/>
    <col min="7175" max="7425" width="9.140625" style="88"/>
    <col min="7426" max="7426" width="110.28515625" style="88" customWidth="1"/>
    <col min="7427" max="7427" width="43.5703125" style="88" customWidth="1"/>
    <col min="7428" max="7428" width="35.5703125" style="88" customWidth="1"/>
    <col min="7429" max="7429" width="36" style="88" customWidth="1"/>
    <col min="7430" max="7430" width="34.85546875" style="88" customWidth="1"/>
    <col min="7431" max="7681" width="9.140625" style="88"/>
    <col min="7682" max="7682" width="110.28515625" style="88" customWidth="1"/>
    <col min="7683" max="7683" width="43.5703125" style="88" customWidth="1"/>
    <col min="7684" max="7684" width="35.5703125" style="88" customWidth="1"/>
    <col min="7685" max="7685" width="36" style="88" customWidth="1"/>
    <col min="7686" max="7686" width="34.85546875" style="88" customWidth="1"/>
    <col min="7687" max="7937" width="9.140625" style="88"/>
    <col min="7938" max="7938" width="110.28515625" style="88" customWidth="1"/>
    <col min="7939" max="7939" width="43.5703125" style="88" customWidth="1"/>
    <col min="7940" max="7940" width="35.5703125" style="88" customWidth="1"/>
    <col min="7941" max="7941" width="36" style="88" customWidth="1"/>
    <col min="7942" max="7942" width="34.85546875" style="88" customWidth="1"/>
    <col min="7943" max="8193" width="9.140625" style="88"/>
    <col min="8194" max="8194" width="110.28515625" style="88" customWidth="1"/>
    <col min="8195" max="8195" width="43.5703125" style="88" customWidth="1"/>
    <col min="8196" max="8196" width="35.5703125" style="88" customWidth="1"/>
    <col min="8197" max="8197" width="36" style="88" customWidth="1"/>
    <col min="8198" max="8198" width="34.85546875" style="88" customWidth="1"/>
    <col min="8199" max="8449" width="9.140625" style="88"/>
    <col min="8450" max="8450" width="110.28515625" style="88" customWidth="1"/>
    <col min="8451" max="8451" width="43.5703125" style="88" customWidth="1"/>
    <col min="8452" max="8452" width="35.5703125" style="88" customWidth="1"/>
    <col min="8453" max="8453" width="36" style="88" customWidth="1"/>
    <col min="8454" max="8454" width="34.85546875" style="88" customWidth="1"/>
    <col min="8455" max="8705" width="9.140625" style="88"/>
    <col min="8706" max="8706" width="110.28515625" style="88" customWidth="1"/>
    <col min="8707" max="8707" width="43.5703125" style="88" customWidth="1"/>
    <col min="8708" max="8708" width="35.5703125" style="88" customWidth="1"/>
    <col min="8709" max="8709" width="36" style="88" customWidth="1"/>
    <col min="8710" max="8710" width="34.85546875" style="88" customWidth="1"/>
    <col min="8711" max="8961" width="9.140625" style="88"/>
    <col min="8962" max="8962" width="110.28515625" style="88" customWidth="1"/>
    <col min="8963" max="8963" width="43.5703125" style="88" customWidth="1"/>
    <col min="8964" max="8964" width="35.5703125" style="88" customWidth="1"/>
    <col min="8965" max="8965" width="36" style="88" customWidth="1"/>
    <col min="8966" max="8966" width="34.85546875" style="88" customWidth="1"/>
    <col min="8967" max="9217" width="9.140625" style="88"/>
    <col min="9218" max="9218" width="110.28515625" style="88" customWidth="1"/>
    <col min="9219" max="9219" width="43.5703125" style="88" customWidth="1"/>
    <col min="9220" max="9220" width="35.5703125" style="88" customWidth="1"/>
    <col min="9221" max="9221" width="36" style="88" customWidth="1"/>
    <col min="9222" max="9222" width="34.85546875" style="88" customWidth="1"/>
    <col min="9223" max="9473" width="9.140625" style="88"/>
    <col min="9474" max="9474" width="110.28515625" style="88" customWidth="1"/>
    <col min="9475" max="9475" width="43.5703125" style="88" customWidth="1"/>
    <col min="9476" max="9476" width="35.5703125" style="88" customWidth="1"/>
    <col min="9477" max="9477" width="36" style="88" customWidth="1"/>
    <col min="9478" max="9478" width="34.85546875" style="88" customWidth="1"/>
    <col min="9479" max="9729" width="9.140625" style="88"/>
    <col min="9730" max="9730" width="110.28515625" style="88" customWidth="1"/>
    <col min="9731" max="9731" width="43.5703125" style="88" customWidth="1"/>
    <col min="9732" max="9732" width="35.5703125" style="88" customWidth="1"/>
    <col min="9733" max="9733" width="36" style="88" customWidth="1"/>
    <col min="9734" max="9734" width="34.85546875" style="88" customWidth="1"/>
    <col min="9735" max="9985" width="9.140625" style="88"/>
    <col min="9986" max="9986" width="110.28515625" style="88" customWidth="1"/>
    <col min="9987" max="9987" width="43.5703125" style="88" customWidth="1"/>
    <col min="9988" max="9988" width="35.5703125" style="88" customWidth="1"/>
    <col min="9989" max="9989" width="36" style="88" customWidth="1"/>
    <col min="9990" max="9990" width="34.85546875" style="88" customWidth="1"/>
    <col min="9991" max="10241" width="9.140625" style="88"/>
    <col min="10242" max="10242" width="110.28515625" style="88" customWidth="1"/>
    <col min="10243" max="10243" width="43.5703125" style="88" customWidth="1"/>
    <col min="10244" max="10244" width="35.5703125" style="88" customWidth="1"/>
    <col min="10245" max="10245" width="36" style="88" customWidth="1"/>
    <col min="10246" max="10246" width="34.85546875" style="88" customWidth="1"/>
    <col min="10247" max="10497" width="9.140625" style="88"/>
    <col min="10498" max="10498" width="110.28515625" style="88" customWidth="1"/>
    <col min="10499" max="10499" width="43.5703125" style="88" customWidth="1"/>
    <col min="10500" max="10500" width="35.5703125" style="88" customWidth="1"/>
    <col min="10501" max="10501" width="36" style="88" customWidth="1"/>
    <col min="10502" max="10502" width="34.85546875" style="88" customWidth="1"/>
    <col min="10503" max="10753" width="9.140625" style="88"/>
    <col min="10754" max="10754" width="110.28515625" style="88" customWidth="1"/>
    <col min="10755" max="10755" width="43.5703125" style="88" customWidth="1"/>
    <col min="10756" max="10756" width="35.5703125" style="88" customWidth="1"/>
    <col min="10757" max="10757" width="36" style="88" customWidth="1"/>
    <col min="10758" max="10758" width="34.85546875" style="88" customWidth="1"/>
    <col min="10759" max="11009" width="9.140625" style="88"/>
    <col min="11010" max="11010" width="110.28515625" style="88" customWidth="1"/>
    <col min="11011" max="11011" width="43.5703125" style="88" customWidth="1"/>
    <col min="11012" max="11012" width="35.5703125" style="88" customWidth="1"/>
    <col min="11013" max="11013" width="36" style="88" customWidth="1"/>
    <col min="11014" max="11014" width="34.85546875" style="88" customWidth="1"/>
    <col min="11015" max="11265" width="9.140625" style="88"/>
    <col min="11266" max="11266" width="110.28515625" style="88" customWidth="1"/>
    <col min="11267" max="11267" width="43.5703125" style="88" customWidth="1"/>
    <col min="11268" max="11268" width="35.5703125" style="88" customWidth="1"/>
    <col min="11269" max="11269" width="36" style="88" customWidth="1"/>
    <col min="11270" max="11270" width="34.85546875" style="88" customWidth="1"/>
    <col min="11271" max="11521" width="9.140625" style="88"/>
    <col min="11522" max="11522" width="110.28515625" style="88" customWidth="1"/>
    <col min="11523" max="11523" width="43.5703125" style="88" customWidth="1"/>
    <col min="11524" max="11524" width="35.5703125" style="88" customWidth="1"/>
    <col min="11525" max="11525" width="36" style="88" customWidth="1"/>
    <col min="11526" max="11526" width="34.85546875" style="88" customWidth="1"/>
    <col min="11527" max="11777" width="9.140625" style="88"/>
    <col min="11778" max="11778" width="110.28515625" style="88" customWidth="1"/>
    <col min="11779" max="11779" width="43.5703125" style="88" customWidth="1"/>
    <col min="11780" max="11780" width="35.5703125" style="88" customWidth="1"/>
    <col min="11781" max="11781" width="36" style="88" customWidth="1"/>
    <col min="11782" max="11782" width="34.85546875" style="88" customWidth="1"/>
    <col min="11783" max="12033" width="9.140625" style="88"/>
    <col min="12034" max="12034" width="110.28515625" style="88" customWidth="1"/>
    <col min="12035" max="12035" width="43.5703125" style="88" customWidth="1"/>
    <col min="12036" max="12036" width="35.5703125" style="88" customWidth="1"/>
    <col min="12037" max="12037" width="36" style="88" customWidth="1"/>
    <col min="12038" max="12038" width="34.85546875" style="88" customWidth="1"/>
    <col min="12039" max="12289" width="9.140625" style="88"/>
    <col min="12290" max="12290" width="110.28515625" style="88" customWidth="1"/>
    <col min="12291" max="12291" width="43.5703125" style="88" customWidth="1"/>
    <col min="12292" max="12292" width="35.5703125" style="88" customWidth="1"/>
    <col min="12293" max="12293" width="36" style="88" customWidth="1"/>
    <col min="12294" max="12294" width="34.85546875" style="88" customWidth="1"/>
    <col min="12295" max="12545" width="9.140625" style="88"/>
    <col min="12546" max="12546" width="110.28515625" style="88" customWidth="1"/>
    <col min="12547" max="12547" width="43.5703125" style="88" customWidth="1"/>
    <col min="12548" max="12548" width="35.5703125" style="88" customWidth="1"/>
    <col min="12549" max="12549" width="36" style="88" customWidth="1"/>
    <col min="12550" max="12550" width="34.85546875" style="88" customWidth="1"/>
    <col min="12551" max="12801" width="9.140625" style="88"/>
    <col min="12802" max="12802" width="110.28515625" style="88" customWidth="1"/>
    <col min="12803" max="12803" width="43.5703125" style="88" customWidth="1"/>
    <col min="12804" max="12804" width="35.5703125" style="88" customWidth="1"/>
    <col min="12805" max="12805" width="36" style="88" customWidth="1"/>
    <col min="12806" max="12806" width="34.85546875" style="88" customWidth="1"/>
    <col min="12807" max="13057" width="9.140625" style="88"/>
    <col min="13058" max="13058" width="110.28515625" style="88" customWidth="1"/>
    <col min="13059" max="13059" width="43.5703125" style="88" customWidth="1"/>
    <col min="13060" max="13060" width="35.5703125" style="88" customWidth="1"/>
    <col min="13061" max="13061" width="36" style="88" customWidth="1"/>
    <col min="13062" max="13062" width="34.85546875" style="88" customWidth="1"/>
    <col min="13063" max="13313" width="9.140625" style="88"/>
    <col min="13314" max="13314" width="110.28515625" style="88" customWidth="1"/>
    <col min="13315" max="13315" width="43.5703125" style="88" customWidth="1"/>
    <col min="13316" max="13316" width="35.5703125" style="88" customWidth="1"/>
    <col min="13317" max="13317" width="36" style="88" customWidth="1"/>
    <col min="13318" max="13318" width="34.85546875" style="88" customWidth="1"/>
    <col min="13319" max="13569" width="9.140625" style="88"/>
    <col min="13570" max="13570" width="110.28515625" style="88" customWidth="1"/>
    <col min="13571" max="13571" width="43.5703125" style="88" customWidth="1"/>
    <col min="13572" max="13572" width="35.5703125" style="88" customWidth="1"/>
    <col min="13573" max="13573" width="36" style="88" customWidth="1"/>
    <col min="13574" max="13574" width="34.85546875" style="88" customWidth="1"/>
    <col min="13575" max="13825" width="9.140625" style="88"/>
    <col min="13826" max="13826" width="110.28515625" style="88" customWidth="1"/>
    <col min="13827" max="13827" width="43.5703125" style="88" customWidth="1"/>
    <col min="13828" max="13828" width="35.5703125" style="88" customWidth="1"/>
    <col min="13829" max="13829" width="36" style="88" customWidth="1"/>
    <col min="13830" max="13830" width="34.85546875" style="88" customWidth="1"/>
    <col min="13831" max="14081" width="9.140625" style="88"/>
    <col min="14082" max="14082" width="110.28515625" style="88" customWidth="1"/>
    <col min="14083" max="14083" width="43.5703125" style="88" customWidth="1"/>
    <col min="14084" max="14084" width="35.5703125" style="88" customWidth="1"/>
    <col min="14085" max="14085" width="36" style="88" customWidth="1"/>
    <col min="14086" max="14086" width="34.85546875" style="88" customWidth="1"/>
    <col min="14087" max="14337" width="9.140625" style="88"/>
    <col min="14338" max="14338" width="110.28515625" style="88" customWidth="1"/>
    <col min="14339" max="14339" width="43.5703125" style="88" customWidth="1"/>
    <col min="14340" max="14340" width="35.5703125" style="88" customWidth="1"/>
    <col min="14341" max="14341" width="36" style="88" customWidth="1"/>
    <col min="14342" max="14342" width="34.85546875" style="88" customWidth="1"/>
    <col min="14343" max="14593" width="9.140625" style="88"/>
    <col min="14594" max="14594" width="110.28515625" style="88" customWidth="1"/>
    <col min="14595" max="14595" width="43.5703125" style="88" customWidth="1"/>
    <col min="14596" max="14596" width="35.5703125" style="88" customWidth="1"/>
    <col min="14597" max="14597" width="36" style="88" customWidth="1"/>
    <col min="14598" max="14598" width="34.85546875" style="88" customWidth="1"/>
    <col min="14599" max="14849" width="9.140625" style="88"/>
    <col min="14850" max="14850" width="110.28515625" style="88" customWidth="1"/>
    <col min="14851" max="14851" width="43.5703125" style="88" customWidth="1"/>
    <col min="14852" max="14852" width="35.5703125" style="88" customWidth="1"/>
    <col min="14853" max="14853" width="36" style="88" customWidth="1"/>
    <col min="14854" max="14854" width="34.85546875" style="88" customWidth="1"/>
    <col min="14855" max="15105" width="9.140625" style="88"/>
    <col min="15106" max="15106" width="110.28515625" style="88" customWidth="1"/>
    <col min="15107" max="15107" width="43.5703125" style="88" customWidth="1"/>
    <col min="15108" max="15108" width="35.5703125" style="88" customWidth="1"/>
    <col min="15109" max="15109" width="36" style="88" customWidth="1"/>
    <col min="15110" max="15110" width="34.85546875" style="88" customWidth="1"/>
    <col min="15111" max="15361" width="9.140625" style="88"/>
    <col min="15362" max="15362" width="110.28515625" style="88" customWidth="1"/>
    <col min="15363" max="15363" width="43.5703125" style="88" customWidth="1"/>
    <col min="15364" max="15364" width="35.5703125" style="88" customWidth="1"/>
    <col min="15365" max="15365" width="36" style="88" customWidth="1"/>
    <col min="15366" max="15366" width="34.85546875" style="88" customWidth="1"/>
    <col min="15367" max="15617" width="9.140625" style="88"/>
    <col min="15618" max="15618" width="110.28515625" style="88" customWidth="1"/>
    <col min="15619" max="15619" width="43.5703125" style="88" customWidth="1"/>
    <col min="15620" max="15620" width="35.5703125" style="88" customWidth="1"/>
    <col min="15621" max="15621" width="36" style="88" customWidth="1"/>
    <col min="15622" max="15622" width="34.85546875" style="88" customWidth="1"/>
    <col min="15623" max="15873" width="9.140625" style="88"/>
    <col min="15874" max="15874" width="110.28515625" style="88" customWidth="1"/>
    <col min="15875" max="15875" width="43.5703125" style="88" customWidth="1"/>
    <col min="15876" max="15876" width="35.5703125" style="88" customWidth="1"/>
    <col min="15877" max="15877" width="36" style="88" customWidth="1"/>
    <col min="15878" max="15878" width="34.85546875" style="88" customWidth="1"/>
    <col min="15879" max="16129" width="9.140625" style="88"/>
    <col min="16130" max="16130" width="110.28515625" style="88" customWidth="1"/>
    <col min="16131" max="16131" width="43.5703125" style="88" customWidth="1"/>
    <col min="16132" max="16132" width="35.5703125" style="88" customWidth="1"/>
    <col min="16133" max="16133" width="36" style="88" customWidth="1"/>
    <col min="16134" max="16134" width="34.85546875" style="88" customWidth="1"/>
    <col min="16135" max="16384" width="9.140625" style="88"/>
  </cols>
  <sheetData>
    <row r="2" spans="1:15">
      <c r="A2" s="667" t="s">
        <v>707</v>
      </c>
      <c r="B2" s="667"/>
      <c r="C2" s="667"/>
      <c r="D2" s="667"/>
      <c r="E2" s="667"/>
      <c r="F2" s="667"/>
      <c r="G2" s="667"/>
      <c r="H2" s="667"/>
      <c r="I2" s="667"/>
      <c r="J2" s="667"/>
      <c r="K2" s="667"/>
      <c r="L2" s="667"/>
      <c r="M2" s="667"/>
      <c r="N2" s="667"/>
      <c r="O2" s="667"/>
    </row>
    <row r="3" spans="1:15">
      <c r="A3" s="667" t="s">
        <v>949</v>
      </c>
      <c r="B3" s="667"/>
      <c r="C3" s="667"/>
      <c r="D3" s="667"/>
      <c r="E3" s="667"/>
      <c r="F3" s="667"/>
      <c r="G3" s="667"/>
      <c r="H3" s="667"/>
      <c r="I3" s="667"/>
      <c r="J3" s="667"/>
      <c r="K3" s="667"/>
      <c r="L3" s="667"/>
      <c r="M3" s="667"/>
      <c r="N3" s="667"/>
      <c r="O3" s="667"/>
    </row>
    <row r="4" spans="1:15">
      <c r="B4" s="392"/>
      <c r="D4" s="393"/>
      <c r="E4" s="394"/>
      <c r="F4" s="393"/>
      <c r="G4" s="389" t="s">
        <v>654</v>
      </c>
      <c r="H4" s="393"/>
      <c r="I4" s="393"/>
      <c r="J4" s="393"/>
      <c r="K4" s="393"/>
      <c r="L4" s="393"/>
      <c r="M4" s="393"/>
      <c r="N4" s="393" t="s">
        <v>1073</v>
      </c>
    </row>
    <row r="5" spans="1:15" ht="15">
      <c r="B5" s="395"/>
      <c r="C5" s="228"/>
      <c r="D5" s="551" t="s">
        <v>950</v>
      </c>
      <c r="E5" s="551"/>
      <c r="F5" s="551"/>
      <c r="G5" s="551"/>
      <c r="H5" s="551"/>
      <c r="I5" s="551"/>
      <c r="J5" s="39"/>
      <c r="K5" s="551" t="s">
        <v>951</v>
      </c>
      <c r="L5" s="551"/>
      <c r="M5" s="551"/>
      <c r="N5" s="551"/>
      <c r="O5" s="551"/>
    </row>
    <row r="6" spans="1:15" s="89" customFormat="1" ht="90.75" customHeight="1">
      <c r="A6" s="186" t="s">
        <v>952</v>
      </c>
      <c r="B6" s="396" t="s">
        <v>14</v>
      </c>
      <c r="C6" s="186" t="s">
        <v>122</v>
      </c>
      <c r="D6" s="186" t="s">
        <v>953</v>
      </c>
      <c r="E6" s="186" t="s">
        <v>832</v>
      </c>
      <c r="F6" s="186" t="s">
        <v>865</v>
      </c>
      <c r="G6" s="186" t="s">
        <v>866</v>
      </c>
      <c r="H6" s="186" t="s">
        <v>867</v>
      </c>
      <c r="I6" s="186" t="s">
        <v>78</v>
      </c>
      <c r="J6" s="186" t="s">
        <v>953</v>
      </c>
      <c r="K6" s="186" t="s">
        <v>832</v>
      </c>
      <c r="L6" s="186" t="s">
        <v>865</v>
      </c>
      <c r="M6" s="186" t="s">
        <v>866</v>
      </c>
      <c r="N6" s="186" t="s">
        <v>867</v>
      </c>
      <c r="O6" s="186" t="s">
        <v>78</v>
      </c>
    </row>
    <row r="7" spans="1:15" ht="45">
      <c r="A7" s="33"/>
      <c r="B7" s="397" t="s">
        <v>371</v>
      </c>
      <c r="C7" s="398"/>
      <c r="D7" s="399"/>
      <c r="E7" s="399"/>
      <c r="F7" s="399"/>
      <c r="G7" s="399"/>
      <c r="H7" s="399"/>
      <c r="I7" s="399"/>
      <c r="J7" s="399"/>
      <c r="K7" s="399"/>
      <c r="L7" s="399"/>
      <c r="M7" s="399"/>
      <c r="N7" s="400"/>
      <c r="O7" s="405"/>
    </row>
    <row r="8" spans="1:15" ht="28.5">
      <c r="A8" s="33" t="s">
        <v>954</v>
      </c>
      <c r="B8" s="401" t="s">
        <v>741</v>
      </c>
      <c r="C8" s="408">
        <f>14943.03-250</f>
        <v>14693.03</v>
      </c>
      <c r="D8" s="402">
        <v>4585.3056518176081</v>
      </c>
      <c r="E8" s="402">
        <v>3421.921207919891</v>
      </c>
      <c r="F8" s="402">
        <v>4359.9665815353437</v>
      </c>
      <c r="G8" s="402">
        <v>1969.0903990507329</v>
      </c>
      <c r="H8" s="402">
        <v>2325.0091585043097</v>
      </c>
      <c r="I8" s="403">
        <v>16661.292998827885</v>
      </c>
      <c r="J8" s="402">
        <v>3258.4082462099977</v>
      </c>
      <c r="K8" s="402">
        <v>3237.004485845001</v>
      </c>
      <c r="L8" s="402">
        <v>3314.4873926209993</v>
      </c>
      <c r="M8" s="402">
        <v>1808.8931211170006</v>
      </c>
      <c r="N8" s="402">
        <v>2023.3123844720012</v>
      </c>
      <c r="O8" s="404">
        <v>13642.105630265001</v>
      </c>
    </row>
    <row r="9" spans="1:15" ht="42.75">
      <c r="A9" s="33" t="s">
        <v>954</v>
      </c>
      <c r="B9" s="401" t="s">
        <v>742</v>
      </c>
      <c r="C9" s="408">
        <v>2306.7399999999998</v>
      </c>
      <c r="D9" s="403">
        <v>0</v>
      </c>
      <c r="E9" s="402">
        <v>0</v>
      </c>
      <c r="F9" s="402">
        <v>0</v>
      </c>
      <c r="G9" s="402">
        <v>0</v>
      </c>
      <c r="H9" s="402">
        <v>0</v>
      </c>
      <c r="I9" s="402">
        <v>0</v>
      </c>
      <c r="J9" s="402">
        <v>0</v>
      </c>
      <c r="K9" s="402">
        <v>0</v>
      </c>
      <c r="L9" s="402">
        <v>0</v>
      </c>
      <c r="M9" s="402">
        <v>0</v>
      </c>
      <c r="N9" s="402">
        <v>0</v>
      </c>
      <c r="O9" s="405">
        <v>0</v>
      </c>
    </row>
    <row r="10" spans="1:15" ht="28.5">
      <c r="A10" s="33" t="s">
        <v>955</v>
      </c>
      <c r="B10" s="401" t="s">
        <v>743</v>
      </c>
      <c r="C10" s="408">
        <v>3728.8</v>
      </c>
      <c r="D10" s="402">
        <v>111.60179455999999</v>
      </c>
      <c r="E10" s="402">
        <v>2295.7966888360038</v>
      </c>
      <c r="F10" s="402">
        <v>1051.2811262438158</v>
      </c>
      <c r="G10" s="402">
        <v>111.60179455999999</v>
      </c>
      <c r="H10" s="402">
        <v>157.85779456</v>
      </c>
      <c r="I10" s="403">
        <v>3728.139198759819</v>
      </c>
      <c r="J10" s="402">
        <v>98.805800262000005</v>
      </c>
      <c r="K10" s="402">
        <v>2126.9022953220001</v>
      </c>
      <c r="L10" s="402">
        <v>936.447034702</v>
      </c>
      <c r="M10" s="402">
        <v>67.350776261999997</v>
      </c>
      <c r="N10" s="402">
        <v>121.78700826199999</v>
      </c>
      <c r="O10" s="404">
        <v>3351.2929148099997</v>
      </c>
    </row>
    <row r="11" spans="1:15" ht="15.75">
      <c r="A11" s="33" t="s">
        <v>956</v>
      </c>
      <c r="B11" s="401" t="s">
        <v>957</v>
      </c>
      <c r="C11" s="408">
        <v>250</v>
      </c>
      <c r="D11" s="402">
        <v>22.886782499999999</v>
      </c>
      <c r="E11" s="402">
        <v>22.886782499999999</v>
      </c>
      <c r="F11" s="402">
        <v>22.886782499999999</v>
      </c>
      <c r="G11" s="402">
        <v>22.886782499999999</v>
      </c>
      <c r="H11" s="402">
        <v>22.886782499999999</v>
      </c>
      <c r="I11" s="403">
        <v>114.43391250000001</v>
      </c>
      <c r="J11" s="402">
        <v>22.886782499999999</v>
      </c>
      <c r="K11" s="402">
        <v>22.886782499999999</v>
      </c>
      <c r="L11" s="402">
        <v>22.886782499999999</v>
      </c>
      <c r="M11" s="402">
        <v>22.886782499999999</v>
      </c>
      <c r="N11" s="402">
        <v>22.886782499999999</v>
      </c>
      <c r="O11" s="404">
        <v>114.43391250000001</v>
      </c>
    </row>
    <row r="12" spans="1:15" ht="15.75">
      <c r="A12" s="33"/>
      <c r="B12" s="401" t="s">
        <v>744</v>
      </c>
      <c r="C12" s="408">
        <f>144.45-100</f>
        <v>44.449999999999989</v>
      </c>
      <c r="D12" s="403">
        <v>0</v>
      </c>
      <c r="E12" s="402">
        <v>0</v>
      </c>
      <c r="F12" s="402">
        <v>0</v>
      </c>
      <c r="G12" s="402">
        <v>0</v>
      </c>
      <c r="H12" s="402">
        <v>0</v>
      </c>
      <c r="I12" s="402">
        <v>0</v>
      </c>
      <c r="J12" s="402">
        <v>0</v>
      </c>
      <c r="K12" s="402">
        <v>0</v>
      </c>
      <c r="L12" s="402">
        <v>0</v>
      </c>
      <c r="M12" s="402">
        <v>0</v>
      </c>
      <c r="N12" s="402">
        <v>0</v>
      </c>
      <c r="O12" s="405">
        <v>0</v>
      </c>
    </row>
    <row r="13" spans="1:15" s="90" customFormat="1" ht="30">
      <c r="A13" s="93"/>
      <c r="B13" s="397" t="s">
        <v>745</v>
      </c>
      <c r="C13" s="461">
        <f t="shared" ref="C13:O13" si="0">SUM(C8:C12)</f>
        <v>21023.02</v>
      </c>
      <c r="D13" s="461">
        <f t="shared" si="0"/>
        <v>4719.7942288776076</v>
      </c>
      <c r="E13" s="461">
        <f t="shared" si="0"/>
        <v>5740.6046792558946</v>
      </c>
      <c r="F13" s="461">
        <f t="shared" si="0"/>
        <v>5434.1344902791589</v>
      </c>
      <c r="G13" s="461">
        <f t="shared" si="0"/>
        <v>2103.578976110733</v>
      </c>
      <c r="H13" s="461">
        <f t="shared" si="0"/>
        <v>2505.7537355643099</v>
      </c>
      <c r="I13" s="461">
        <f t="shared" si="0"/>
        <v>20503.866110087703</v>
      </c>
      <c r="J13" s="461">
        <f t="shared" si="0"/>
        <v>3380.100828971998</v>
      </c>
      <c r="K13" s="461">
        <f t="shared" si="0"/>
        <v>5386.7935636670009</v>
      </c>
      <c r="L13" s="461">
        <f t="shared" si="0"/>
        <v>4273.8212098229988</v>
      </c>
      <c r="M13" s="461">
        <f t="shared" si="0"/>
        <v>1899.1306798790006</v>
      </c>
      <c r="N13" s="461">
        <f t="shared" si="0"/>
        <v>2167.9861752340016</v>
      </c>
      <c r="O13" s="461">
        <f t="shared" si="0"/>
        <v>17107.832457575001</v>
      </c>
    </row>
    <row r="14" spans="1:15" s="90" customFormat="1" ht="30">
      <c r="A14" s="93"/>
      <c r="B14" s="397" t="s">
        <v>958</v>
      </c>
      <c r="C14" s="408"/>
      <c r="D14" s="402">
        <v>0</v>
      </c>
      <c r="E14" s="402">
        <v>0</v>
      </c>
      <c r="F14" s="402">
        <v>0</v>
      </c>
      <c r="G14" s="402">
        <v>0</v>
      </c>
      <c r="H14" s="402">
        <v>0</v>
      </c>
      <c r="I14" s="402">
        <v>0</v>
      </c>
      <c r="J14" s="402">
        <v>0</v>
      </c>
      <c r="K14" s="402">
        <v>0</v>
      </c>
      <c r="L14" s="402">
        <v>0</v>
      </c>
      <c r="M14" s="402">
        <v>0</v>
      </c>
      <c r="N14" s="402">
        <v>0</v>
      </c>
      <c r="O14" s="406">
        <v>0</v>
      </c>
    </row>
    <row r="15" spans="1:15" ht="42.75">
      <c r="A15" s="33" t="s">
        <v>959</v>
      </c>
      <c r="B15" s="401" t="s">
        <v>746</v>
      </c>
      <c r="C15" s="408">
        <f>41.09+10.5+9.29+2.06+0.37+1.03+0.04+0.19+0.01+5.16+0.93</f>
        <v>70.670000000000016</v>
      </c>
      <c r="D15" s="402">
        <v>0</v>
      </c>
      <c r="E15" s="404">
        <v>11</v>
      </c>
      <c r="F15" s="402">
        <v>0</v>
      </c>
      <c r="G15" s="402">
        <v>10.525177904</v>
      </c>
      <c r="H15" s="404">
        <v>0</v>
      </c>
      <c r="I15" s="402">
        <v>21.525177904</v>
      </c>
      <c r="J15" s="402">
        <v>0</v>
      </c>
      <c r="K15" s="402">
        <v>10.594234897000002</v>
      </c>
      <c r="L15" s="402">
        <v>0</v>
      </c>
      <c r="M15" s="402">
        <v>0</v>
      </c>
      <c r="N15" s="402">
        <v>0</v>
      </c>
      <c r="O15" s="404">
        <v>10.594234897000002</v>
      </c>
    </row>
    <row r="16" spans="1:15" ht="15">
      <c r="A16" s="33"/>
      <c r="B16" s="401" t="s">
        <v>400</v>
      </c>
      <c r="C16" s="408">
        <v>528.14</v>
      </c>
      <c r="D16" s="402">
        <v>0</v>
      </c>
      <c r="E16" s="402">
        <v>492.0343656</v>
      </c>
      <c r="F16" s="402">
        <v>0</v>
      </c>
      <c r="G16" s="402">
        <v>0</v>
      </c>
      <c r="H16" s="402">
        <v>0</v>
      </c>
      <c r="I16" s="402">
        <v>492.0343656</v>
      </c>
      <c r="J16" s="402">
        <v>0</v>
      </c>
      <c r="K16" s="404">
        <v>492.0343656</v>
      </c>
      <c r="L16" s="402">
        <v>0</v>
      </c>
      <c r="M16" s="402">
        <v>0</v>
      </c>
      <c r="N16" s="402">
        <v>0</v>
      </c>
      <c r="O16" s="404">
        <v>492.0343656</v>
      </c>
    </row>
    <row r="17" spans="1:19" ht="28.5">
      <c r="A17" s="33" t="s">
        <v>960</v>
      </c>
      <c r="B17" s="401" t="s">
        <v>743</v>
      </c>
      <c r="C17" s="470">
        <f>3238.5+582.92</f>
        <v>3821.42</v>
      </c>
      <c r="D17" s="471">
        <v>0</v>
      </c>
      <c r="E17" s="404">
        <v>1352</v>
      </c>
      <c r="F17" s="471">
        <v>0</v>
      </c>
      <c r="G17" s="471">
        <v>389.06683496541939</v>
      </c>
      <c r="H17" s="471">
        <v>0</v>
      </c>
      <c r="I17" s="471">
        <v>1741.0668349654193</v>
      </c>
      <c r="J17" s="471">
        <v>0</v>
      </c>
      <c r="K17" s="471">
        <v>1351.2608910169999</v>
      </c>
      <c r="L17" s="471">
        <v>0</v>
      </c>
      <c r="M17" s="471">
        <v>0</v>
      </c>
      <c r="N17" s="471">
        <v>0</v>
      </c>
      <c r="O17" s="404">
        <v>1351.2608910169999</v>
      </c>
    </row>
    <row r="18" spans="1:19" ht="15">
      <c r="A18" s="33" t="s">
        <v>961</v>
      </c>
      <c r="B18" s="401" t="s">
        <v>747</v>
      </c>
      <c r="C18" s="408">
        <v>96.14</v>
      </c>
      <c r="D18" s="402">
        <v>0</v>
      </c>
      <c r="E18" s="404">
        <v>6.7185697341800017</v>
      </c>
      <c r="F18" s="402">
        <v>0</v>
      </c>
      <c r="G18" s="402">
        <v>0</v>
      </c>
      <c r="H18" s="402">
        <v>0</v>
      </c>
      <c r="I18" s="402">
        <v>6.7185697341800017</v>
      </c>
      <c r="J18" s="402">
        <v>0</v>
      </c>
      <c r="K18" s="404">
        <v>5.7830745239999999</v>
      </c>
      <c r="L18" s="402">
        <v>0</v>
      </c>
      <c r="M18" s="402">
        <v>0</v>
      </c>
      <c r="N18" s="402">
        <v>0</v>
      </c>
      <c r="O18" s="404">
        <v>5.7830745239999999</v>
      </c>
    </row>
    <row r="19" spans="1:19" ht="15">
      <c r="A19" s="33" t="s">
        <v>962</v>
      </c>
      <c r="B19" s="401" t="s">
        <v>748</v>
      </c>
      <c r="C19" s="408">
        <v>884.08</v>
      </c>
      <c r="D19" s="402">
        <v>176.82</v>
      </c>
      <c r="E19" s="402">
        <v>176.82</v>
      </c>
      <c r="F19" s="402">
        <v>176.82</v>
      </c>
      <c r="G19" s="402">
        <v>176.82</v>
      </c>
      <c r="H19" s="402">
        <v>176.8</v>
      </c>
      <c r="I19" s="402">
        <v>884.08</v>
      </c>
      <c r="J19" s="402">
        <v>152.69425251199985</v>
      </c>
      <c r="K19" s="402">
        <v>163.93767371300001</v>
      </c>
      <c r="L19" s="402">
        <v>152.69425251199985</v>
      </c>
      <c r="M19" s="402">
        <v>152.69425251199985</v>
      </c>
      <c r="N19" s="402">
        <v>152.69425251199985</v>
      </c>
      <c r="O19" s="404">
        <v>774.71468376099938</v>
      </c>
    </row>
    <row r="20" spans="1:19" ht="28.5">
      <c r="A20" s="94" t="s">
        <v>963</v>
      </c>
      <c r="B20" s="118" t="s">
        <v>749</v>
      </c>
      <c r="C20" s="408">
        <v>40</v>
      </c>
      <c r="D20" s="402">
        <v>5.3838727199999994</v>
      </c>
      <c r="E20" s="404">
        <v>15.174732632619998</v>
      </c>
      <c r="F20" s="402">
        <v>5.3838727199999994</v>
      </c>
      <c r="G20" s="402">
        <v>5.3838727199999994</v>
      </c>
      <c r="H20" s="402">
        <v>5.3838727199999994</v>
      </c>
      <c r="I20" s="402">
        <v>36.710223512619997</v>
      </c>
      <c r="J20" s="402">
        <v>4.9958725987999992</v>
      </c>
      <c r="K20" s="402">
        <v>13.9785977208</v>
      </c>
      <c r="L20" s="402">
        <v>4.9958725987999992</v>
      </c>
      <c r="M20" s="402">
        <v>4.9958725987999992</v>
      </c>
      <c r="N20" s="402">
        <v>4.9958725987999992</v>
      </c>
      <c r="O20" s="404">
        <v>33.962088115999997</v>
      </c>
    </row>
    <row r="21" spans="1:19" ht="15">
      <c r="A21" s="33"/>
      <c r="B21" s="401" t="s">
        <v>750</v>
      </c>
      <c r="C21" s="408">
        <v>6</v>
      </c>
      <c r="D21" s="402">
        <v>0</v>
      </c>
      <c r="E21" s="404">
        <v>0</v>
      </c>
      <c r="F21" s="402">
        <v>0</v>
      </c>
      <c r="G21" s="402">
        <v>0</v>
      </c>
      <c r="H21" s="402">
        <v>0</v>
      </c>
      <c r="I21" s="402">
        <v>0</v>
      </c>
      <c r="J21" s="402">
        <v>0</v>
      </c>
      <c r="K21" s="402">
        <v>0</v>
      </c>
      <c r="L21" s="402">
        <v>0</v>
      </c>
      <c r="M21" s="402">
        <v>0</v>
      </c>
      <c r="N21" s="402">
        <v>0</v>
      </c>
      <c r="O21" s="405">
        <v>0</v>
      </c>
    </row>
    <row r="22" spans="1:19" ht="15">
      <c r="A22" s="33"/>
      <c r="B22" s="401" t="s">
        <v>304</v>
      </c>
      <c r="C22" s="408">
        <v>700</v>
      </c>
      <c r="D22" s="402">
        <v>150.44052139549999</v>
      </c>
      <c r="E22" s="402">
        <v>51.467914417999999</v>
      </c>
      <c r="F22" s="402">
        <v>150.44052139549999</v>
      </c>
      <c r="G22" s="402">
        <v>150.44052139549999</v>
      </c>
      <c r="H22" s="402">
        <v>150.44052139549999</v>
      </c>
      <c r="I22" s="402">
        <v>653.23</v>
      </c>
      <c r="J22" s="402">
        <v>112.50239982500088</v>
      </c>
      <c r="K22" s="402">
        <v>51.467914417999999</v>
      </c>
      <c r="L22" s="402">
        <v>0</v>
      </c>
      <c r="M22" s="402">
        <v>0</v>
      </c>
      <c r="N22" s="402">
        <v>0</v>
      </c>
      <c r="O22" s="404">
        <v>163.9703142430009</v>
      </c>
    </row>
    <row r="23" spans="1:19" ht="15">
      <c r="A23" s="33" t="s">
        <v>964</v>
      </c>
      <c r="B23" s="401" t="s">
        <v>751</v>
      </c>
      <c r="C23" s="408">
        <v>100.4</v>
      </c>
      <c r="D23" s="404">
        <v>8.7549519999999994</v>
      </c>
      <c r="E23" s="404">
        <v>8.7549519999999994</v>
      </c>
      <c r="F23" s="402">
        <v>0</v>
      </c>
      <c r="G23" s="402">
        <v>0</v>
      </c>
      <c r="H23" s="402">
        <v>0</v>
      </c>
      <c r="I23" s="402">
        <v>17.509903999999999</v>
      </c>
      <c r="J23" s="402">
        <v>8.1329156650000005</v>
      </c>
      <c r="K23" s="402">
        <v>8.1329156650000005</v>
      </c>
      <c r="L23" s="402">
        <v>0</v>
      </c>
      <c r="M23" s="402">
        <v>0</v>
      </c>
      <c r="N23" s="402">
        <v>0</v>
      </c>
      <c r="O23" s="402">
        <v>16.265831330000001</v>
      </c>
    </row>
    <row r="24" spans="1:19" s="90" customFormat="1" ht="15">
      <c r="A24" s="93"/>
      <c r="B24" s="397" t="s">
        <v>752</v>
      </c>
      <c r="C24" s="407">
        <f>SUM(C15:C23)</f>
        <v>6246.8499999999995</v>
      </c>
      <c r="D24" s="407">
        <f t="shared" ref="D24:O24" si="1">SUM(D15:D23)</f>
        <v>341.39934611549995</v>
      </c>
      <c r="E24" s="407">
        <f t="shared" si="1"/>
        <v>2113.9705343847995</v>
      </c>
      <c r="F24" s="407">
        <f t="shared" si="1"/>
        <v>332.64439411549995</v>
      </c>
      <c r="G24" s="407">
        <f t="shared" si="1"/>
        <v>732.23640698491943</v>
      </c>
      <c r="H24" s="407">
        <f t="shared" si="1"/>
        <v>332.62439411549997</v>
      </c>
      <c r="I24" s="407">
        <f t="shared" si="1"/>
        <v>3852.8750757162193</v>
      </c>
      <c r="J24" s="407">
        <f t="shared" si="1"/>
        <v>278.32544060080073</v>
      </c>
      <c r="K24" s="407">
        <f t="shared" si="1"/>
        <v>2097.1896675548001</v>
      </c>
      <c r="L24" s="407">
        <f t="shared" si="1"/>
        <v>157.69012511079984</v>
      </c>
      <c r="M24" s="407">
        <f t="shared" si="1"/>
        <v>157.69012511079984</v>
      </c>
      <c r="N24" s="407">
        <f t="shared" si="1"/>
        <v>157.69012511079984</v>
      </c>
      <c r="O24" s="407">
        <f t="shared" si="1"/>
        <v>2848.5854834880001</v>
      </c>
    </row>
    <row r="25" spans="1:19" s="90" customFormat="1" ht="45">
      <c r="A25" s="93"/>
      <c r="B25" s="397" t="s">
        <v>372</v>
      </c>
      <c r="C25" s="461">
        <f>C24+C13</f>
        <v>27269.87</v>
      </c>
      <c r="D25" s="461">
        <f t="shared" ref="D25:O25" si="2">D24+D13</f>
        <v>5061.1935749931072</v>
      </c>
      <c r="E25" s="461">
        <f t="shared" si="2"/>
        <v>7854.5752136406936</v>
      </c>
      <c r="F25" s="461">
        <f t="shared" si="2"/>
        <v>5766.7788843946591</v>
      </c>
      <c r="G25" s="461">
        <f t="shared" si="2"/>
        <v>2835.8153830956526</v>
      </c>
      <c r="H25" s="461">
        <f t="shared" si="2"/>
        <v>2838.3781296798097</v>
      </c>
      <c r="I25" s="461">
        <f t="shared" si="2"/>
        <v>24356.741185803923</v>
      </c>
      <c r="J25" s="461">
        <f t="shared" si="2"/>
        <v>3658.4262695727989</v>
      </c>
      <c r="K25" s="461">
        <f t="shared" si="2"/>
        <v>7483.9832312218005</v>
      </c>
      <c r="L25" s="461">
        <f t="shared" si="2"/>
        <v>4431.5113349337989</v>
      </c>
      <c r="M25" s="461">
        <f t="shared" si="2"/>
        <v>2056.8208049898003</v>
      </c>
      <c r="N25" s="461">
        <f t="shared" si="2"/>
        <v>2325.6763003448013</v>
      </c>
      <c r="O25" s="461">
        <f t="shared" si="2"/>
        <v>19956.417941063002</v>
      </c>
    </row>
    <row r="26" spans="1:19" ht="15">
      <c r="A26" s="33" t="s">
        <v>965</v>
      </c>
      <c r="B26" s="401" t="s">
        <v>753</v>
      </c>
      <c r="C26" s="408">
        <v>8849.09</v>
      </c>
      <c r="D26" s="410">
        <v>1130.643810714</v>
      </c>
      <c r="E26" s="410">
        <v>2408.9921892860002</v>
      </c>
      <c r="F26" s="410">
        <v>1769.818</v>
      </c>
      <c r="G26" s="409">
        <v>1769.818</v>
      </c>
      <c r="H26" s="409">
        <v>1769.818</v>
      </c>
      <c r="I26" s="409">
        <v>8849.09</v>
      </c>
      <c r="J26" s="402">
        <v>1396.7556032035</v>
      </c>
      <c r="K26" s="408">
        <v>2408.9921892860002</v>
      </c>
      <c r="L26" s="402">
        <v>1396.7556032035</v>
      </c>
      <c r="M26" s="402">
        <v>1396.7556032035</v>
      </c>
      <c r="N26" s="402">
        <v>1396.7556032035</v>
      </c>
      <c r="O26" s="402">
        <v>7996.0146021</v>
      </c>
    </row>
    <row r="27" spans="1:19" ht="15">
      <c r="A27" s="33"/>
      <c r="B27" s="401" t="s">
        <v>754</v>
      </c>
      <c r="C27" s="408">
        <v>13.03</v>
      </c>
      <c r="D27" s="410">
        <v>0</v>
      </c>
      <c r="E27" s="411">
        <v>0</v>
      </c>
      <c r="F27" s="410">
        <v>0</v>
      </c>
      <c r="G27" s="409">
        <v>0</v>
      </c>
      <c r="H27" s="409">
        <v>0</v>
      </c>
      <c r="I27" s="409">
        <v>0</v>
      </c>
      <c r="J27" s="402">
        <v>0</v>
      </c>
      <c r="K27" s="402">
        <v>0</v>
      </c>
      <c r="L27" s="402">
        <v>0</v>
      </c>
      <c r="M27" s="402">
        <v>0</v>
      </c>
      <c r="N27" s="402">
        <v>0</v>
      </c>
      <c r="O27" s="88">
        <v>0</v>
      </c>
    </row>
    <row r="28" spans="1:19" ht="15">
      <c r="A28" s="33"/>
      <c r="B28" s="397" t="s">
        <v>343</v>
      </c>
      <c r="C28" s="408">
        <f>SUM(C26:C27)</f>
        <v>8862.1200000000008</v>
      </c>
      <c r="D28" s="410">
        <v>1130.643810714</v>
      </c>
      <c r="E28" s="410">
        <v>2408.9921892860002</v>
      </c>
      <c r="F28" s="410">
        <v>1769.818</v>
      </c>
      <c r="G28" s="410">
        <v>1769.818</v>
      </c>
      <c r="H28" s="410">
        <v>1769.818</v>
      </c>
      <c r="I28" s="409">
        <v>8849.09</v>
      </c>
      <c r="J28" s="409">
        <v>1396.7556032035</v>
      </c>
      <c r="K28" s="409">
        <v>2408.9921892860002</v>
      </c>
      <c r="L28" s="409">
        <v>1396.7556032035</v>
      </c>
      <c r="M28" s="409">
        <v>1396.7556032035</v>
      </c>
      <c r="N28" s="409">
        <v>1396.7556032035</v>
      </c>
      <c r="O28" s="409">
        <v>7996.0146021</v>
      </c>
    </row>
    <row r="29" spans="1:19" s="90" customFormat="1" ht="15.75">
      <c r="A29" s="93"/>
      <c r="B29" s="397" t="s">
        <v>78</v>
      </c>
      <c r="C29" s="412">
        <f>C25+C28</f>
        <v>36131.99</v>
      </c>
      <c r="D29" s="412">
        <f t="shared" ref="D29:O29" si="3">D25+D28</f>
        <v>6191.8373857071074</v>
      </c>
      <c r="E29" s="412">
        <f t="shared" si="3"/>
        <v>10263.567402926694</v>
      </c>
      <c r="F29" s="412">
        <f t="shared" si="3"/>
        <v>7536.5968843946594</v>
      </c>
      <c r="G29" s="412">
        <f t="shared" si="3"/>
        <v>4605.6333830956528</v>
      </c>
      <c r="H29" s="412">
        <f t="shared" si="3"/>
        <v>4608.1961296798099</v>
      </c>
      <c r="I29" s="412">
        <f t="shared" si="3"/>
        <v>33205.831185803923</v>
      </c>
      <c r="J29" s="412">
        <f t="shared" si="3"/>
        <v>5055.1818727762984</v>
      </c>
      <c r="K29" s="412">
        <f t="shared" si="3"/>
        <v>9892.9754205078007</v>
      </c>
      <c r="L29" s="412">
        <f t="shared" si="3"/>
        <v>5828.2669381372989</v>
      </c>
      <c r="M29" s="412">
        <f t="shared" si="3"/>
        <v>3453.5764081933003</v>
      </c>
      <c r="N29" s="412">
        <f t="shared" si="3"/>
        <v>3722.4319035483013</v>
      </c>
      <c r="O29" s="412">
        <f t="shared" si="3"/>
        <v>27952.432543163002</v>
      </c>
    </row>
    <row r="30" spans="1:19" ht="15">
      <c r="A30" s="90"/>
      <c r="B30" s="441"/>
      <c r="C30" s="442"/>
      <c r="D30" s="113"/>
      <c r="E30" s="113"/>
      <c r="F30" s="113"/>
      <c r="G30" s="113"/>
      <c r="H30" s="113"/>
      <c r="I30" s="113"/>
      <c r="J30" s="113"/>
      <c r="K30" s="113"/>
      <c r="L30" s="113"/>
      <c r="M30" s="113"/>
      <c r="N30" s="113"/>
    </row>
    <row r="31" spans="1:19" ht="18">
      <c r="C31" s="113"/>
      <c r="D31" s="462"/>
      <c r="M31" s="229"/>
      <c r="N31" s="229"/>
      <c r="O31" s="528"/>
      <c r="P31" s="528"/>
      <c r="Q31" s="528"/>
      <c r="R31" s="528"/>
      <c r="S31" s="528"/>
    </row>
    <row r="32" spans="1:19">
      <c r="D32" s="229"/>
    </row>
    <row r="33" spans="2:2">
      <c r="B33" s="414"/>
    </row>
  </sheetData>
  <mergeCells count="4">
    <mergeCell ref="D5:I5"/>
    <mergeCell ref="K5:O5"/>
    <mergeCell ref="A2:O2"/>
    <mergeCell ref="A3:O3"/>
  </mergeCells>
  <printOptions horizontalCentered="1"/>
  <pageMargins left="0" right="0" top="0.81299212600000004" bottom="0.234251969" header="0.31496062992126" footer="0.31496062992126"/>
  <pageSetup paperSize="9" scale="58" orientation="landscape"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B1:V153"/>
  <sheetViews>
    <sheetView view="pageBreakPreview" topLeftCell="A52" zoomScale="70" zoomScaleNormal="80" zoomScaleSheetLayoutView="70" workbookViewId="0">
      <selection activeCell="L24" sqref="L24"/>
    </sheetView>
  </sheetViews>
  <sheetFormatPr defaultColWidth="9.28515625" defaultRowHeight="14.25"/>
  <cols>
    <col min="1" max="1" width="2.5703125" style="484" customWidth="1"/>
    <col min="2" max="2" width="14.42578125" style="484" customWidth="1"/>
    <col min="3" max="3" width="63.85546875" style="485" customWidth="1"/>
    <col min="4" max="4" width="15.28515625" style="484" customWidth="1"/>
    <col min="5" max="5" width="12.85546875" style="486" customWidth="1"/>
    <col min="6" max="6" width="15.28515625" style="484" customWidth="1"/>
    <col min="7" max="7" width="15.7109375" style="484" customWidth="1"/>
    <col min="8" max="8" width="16.28515625" style="486" customWidth="1"/>
    <col min="9" max="9" width="12.7109375" style="484" bestFit="1" customWidth="1"/>
    <col min="10" max="10" width="13.28515625" style="484" customWidth="1"/>
    <col min="11" max="11" width="17.140625" style="484" customWidth="1"/>
    <col min="12" max="13" width="15.28515625" style="484" customWidth="1"/>
    <col min="14" max="14" width="6.7109375" style="484" customWidth="1"/>
    <col min="15" max="15" width="6.85546875" style="484" customWidth="1"/>
    <col min="16" max="16" width="8.7109375" style="484" customWidth="1"/>
    <col min="17" max="17" width="15.28515625" style="484" customWidth="1"/>
    <col min="18" max="18" width="15.7109375" style="484" customWidth="1"/>
    <col min="19" max="19" width="15" style="484" customWidth="1"/>
    <col min="20" max="20" width="14.7109375" style="484" customWidth="1"/>
    <col min="21" max="21" width="15.28515625" style="485" customWidth="1"/>
    <col min="22" max="22" width="19.42578125" style="484" customWidth="1"/>
    <col min="23" max="259" width="9.28515625" style="484"/>
    <col min="260" max="260" width="14.5703125" style="484" customWidth="1"/>
    <col min="261" max="261" width="14.42578125" style="484" customWidth="1"/>
    <col min="262" max="262" width="58.28515625" style="484" customWidth="1"/>
    <col min="263" max="263" width="30.42578125" style="484" customWidth="1"/>
    <col min="264" max="264" width="27.28515625" style="484" customWidth="1"/>
    <col min="265" max="265" width="30.7109375" style="484" customWidth="1"/>
    <col min="266" max="266" width="24.7109375" style="484" customWidth="1"/>
    <col min="267" max="267" width="27.28515625" style="484" customWidth="1"/>
    <col min="268" max="268" width="32" style="484" customWidth="1"/>
    <col min="269" max="269" width="25.5703125" style="484" customWidth="1"/>
    <col min="270" max="270" width="27.28515625" style="484" customWidth="1"/>
    <col min="271" max="271" width="31.42578125" style="484" customWidth="1"/>
    <col min="272" max="272" width="30.5703125" style="484" customWidth="1"/>
    <col min="273" max="273" width="27.28515625" style="484" customWidth="1"/>
    <col min="274" max="274" width="32.5703125" style="484" customWidth="1"/>
    <col min="275" max="275" width="30.42578125" style="484" customWidth="1"/>
    <col min="276" max="276" width="24.28515625" style="484" customWidth="1"/>
    <col min="277" max="277" width="28" style="484" customWidth="1"/>
    <col min="278" max="278" width="19.42578125" style="484" customWidth="1"/>
    <col min="279" max="515" width="9.28515625" style="484"/>
    <col min="516" max="516" width="14.5703125" style="484" customWidth="1"/>
    <col min="517" max="517" width="14.42578125" style="484" customWidth="1"/>
    <col min="518" max="518" width="58.28515625" style="484" customWidth="1"/>
    <col min="519" max="519" width="30.42578125" style="484" customWidth="1"/>
    <col min="520" max="520" width="27.28515625" style="484" customWidth="1"/>
    <col min="521" max="521" width="30.7109375" style="484" customWidth="1"/>
    <col min="522" max="522" width="24.7109375" style="484" customWidth="1"/>
    <col min="523" max="523" width="27.28515625" style="484" customWidth="1"/>
    <col min="524" max="524" width="32" style="484" customWidth="1"/>
    <col min="525" max="525" width="25.5703125" style="484" customWidth="1"/>
    <col min="526" max="526" width="27.28515625" style="484" customWidth="1"/>
    <col min="527" max="527" width="31.42578125" style="484" customWidth="1"/>
    <col min="528" max="528" width="30.5703125" style="484" customWidth="1"/>
    <col min="529" max="529" width="27.28515625" style="484" customWidth="1"/>
    <col min="530" max="530" width="32.5703125" style="484" customWidth="1"/>
    <col min="531" max="531" width="30.42578125" style="484" customWidth="1"/>
    <col min="532" max="532" width="24.28515625" style="484" customWidth="1"/>
    <col min="533" max="533" width="28" style="484" customWidth="1"/>
    <col min="534" max="534" width="19.42578125" style="484" customWidth="1"/>
    <col min="535" max="771" width="9.28515625" style="484"/>
    <col min="772" max="772" width="14.5703125" style="484" customWidth="1"/>
    <col min="773" max="773" width="14.42578125" style="484" customWidth="1"/>
    <col min="774" max="774" width="58.28515625" style="484" customWidth="1"/>
    <col min="775" max="775" width="30.42578125" style="484" customWidth="1"/>
    <col min="776" max="776" width="27.28515625" style="484" customWidth="1"/>
    <col min="777" max="777" width="30.7109375" style="484" customWidth="1"/>
    <col min="778" max="778" width="24.7109375" style="484" customWidth="1"/>
    <col min="779" max="779" width="27.28515625" style="484" customWidth="1"/>
    <col min="780" max="780" width="32" style="484" customWidth="1"/>
    <col min="781" max="781" width="25.5703125" style="484" customWidth="1"/>
    <col min="782" max="782" width="27.28515625" style="484" customWidth="1"/>
    <col min="783" max="783" width="31.42578125" style="484" customWidth="1"/>
    <col min="784" max="784" width="30.5703125" style="484" customWidth="1"/>
    <col min="785" max="785" width="27.28515625" style="484" customWidth="1"/>
    <col min="786" max="786" width="32.5703125" style="484" customWidth="1"/>
    <col min="787" max="787" width="30.42578125" style="484" customWidth="1"/>
    <col min="788" max="788" width="24.28515625" style="484" customWidth="1"/>
    <col min="789" max="789" width="28" style="484" customWidth="1"/>
    <col min="790" max="790" width="19.42578125" style="484" customWidth="1"/>
    <col min="791" max="1027" width="9.28515625" style="484"/>
    <col min="1028" max="1028" width="14.5703125" style="484" customWidth="1"/>
    <col min="1029" max="1029" width="14.42578125" style="484" customWidth="1"/>
    <col min="1030" max="1030" width="58.28515625" style="484" customWidth="1"/>
    <col min="1031" max="1031" width="30.42578125" style="484" customWidth="1"/>
    <col min="1032" max="1032" width="27.28515625" style="484" customWidth="1"/>
    <col min="1033" max="1033" width="30.7109375" style="484" customWidth="1"/>
    <col min="1034" max="1034" width="24.7109375" style="484" customWidth="1"/>
    <col min="1035" max="1035" width="27.28515625" style="484" customWidth="1"/>
    <col min="1036" max="1036" width="32" style="484" customWidth="1"/>
    <col min="1037" max="1037" width="25.5703125" style="484" customWidth="1"/>
    <col min="1038" max="1038" width="27.28515625" style="484" customWidth="1"/>
    <col min="1039" max="1039" width="31.42578125" style="484" customWidth="1"/>
    <col min="1040" max="1040" width="30.5703125" style="484" customWidth="1"/>
    <col min="1041" max="1041" width="27.28515625" style="484" customWidth="1"/>
    <col min="1042" max="1042" width="32.5703125" style="484" customWidth="1"/>
    <col min="1043" max="1043" width="30.42578125" style="484" customWidth="1"/>
    <col min="1044" max="1044" width="24.28515625" style="484" customWidth="1"/>
    <col min="1045" max="1045" width="28" style="484" customWidth="1"/>
    <col min="1046" max="1046" width="19.42578125" style="484" customWidth="1"/>
    <col min="1047" max="1283" width="9.28515625" style="484"/>
    <col min="1284" max="1284" width="14.5703125" style="484" customWidth="1"/>
    <col min="1285" max="1285" width="14.42578125" style="484" customWidth="1"/>
    <col min="1286" max="1286" width="58.28515625" style="484" customWidth="1"/>
    <col min="1287" max="1287" width="30.42578125" style="484" customWidth="1"/>
    <col min="1288" max="1288" width="27.28515625" style="484" customWidth="1"/>
    <col min="1289" max="1289" width="30.7109375" style="484" customWidth="1"/>
    <col min="1290" max="1290" width="24.7109375" style="484" customWidth="1"/>
    <col min="1291" max="1291" width="27.28515625" style="484" customWidth="1"/>
    <col min="1292" max="1292" width="32" style="484" customWidth="1"/>
    <col min="1293" max="1293" width="25.5703125" style="484" customWidth="1"/>
    <col min="1294" max="1294" width="27.28515625" style="484" customWidth="1"/>
    <col min="1295" max="1295" width="31.42578125" style="484" customWidth="1"/>
    <col min="1296" max="1296" width="30.5703125" style="484" customWidth="1"/>
    <col min="1297" max="1297" width="27.28515625" style="484" customWidth="1"/>
    <col min="1298" max="1298" width="32.5703125" style="484" customWidth="1"/>
    <col min="1299" max="1299" width="30.42578125" style="484" customWidth="1"/>
    <col min="1300" max="1300" width="24.28515625" style="484" customWidth="1"/>
    <col min="1301" max="1301" width="28" style="484" customWidth="1"/>
    <col min="1302" max="1302" width="19.42578125" style="484" customWidth="1"/>
    <col min="1303" max="1539" width="9.28515625" style="484"/>
    <col min="1540" max="1540" width="14.5703125" style="484" customWidth="1"/>
    <col min="1541" max="1541" width="14.42578125" style="484" customWidth="1"/>
    <col min="1542" max="1542" width="58.28515625" style="484" customWidth="1"/>
    <col min="1543" max="1543" width="30.42578125" style="484" customWidth="1"/>
    <col min="1544" max="1544" width="27.28515625" style="484" customWidth="1"/>
    <col min="1545" max="1545" width="30.7109375" style="484" customWidth="1"/>
    <col min="1546" max="1546" width="24.7109375" style="484" customWidth="1"/>
    <col min="1547" max="1547" width="27.28515625" style="484" customWidth="1"/>
    <col min="1548" max="1548" width="32" style="484" customWidth="1"/>
    <col min="1549" max="1549" width="25.5703125" style="484" customWidth="1"/>
    <col min="1550" max="1550" width="27.28515625" style="484" customWidth="1"/>
    <col min="1551" max="1551" width="31.42578125" style="484" customWidth="1"/>
    <col min="1552" max="1552" width="30.5703125" style="484" customWidth="1"/>
    <col min="1553" max="1553" width="27.28515625" style="484" customWidth="1"/>
    <col min="1554" max="1554" width="32.5703125" style="484" customWidth="1"/>
    <col min="1555" max="1555" width="30.42578125" style="484" customWidth="1"/>
    <col min="1556" max="1556" width="24.28515625" style="484" customWidth="1"/>
    <col min="1557" max="1557" width="28" style="484" customWidth="1"/>
    <col min="1558" max="1558" width="19.42578125" style="484" customWidth="1"/>
    <col min="1559" max="1795" width="9.28515625" style="484"/>
    <col min="1796" max="1796" width="14.5703125" style="484" customWidth="1"/>
    <col min="1797" max="1797" width="14.42578125" style="484" customWidth="1"/>
    <col min="1798" max="1798" width="58.28515625" style="484" customWidth="1"/>
    <col min="1799" max="1799" width="30.42578125" style="484" customWidth="1"/>
    <col min="1800" max="1800" width="27.28515625" style="484" customWidth="1"/>
    <col min="1801" max="1801" width="30.7109375" style="484" customWidth="1"/>
    <col min="1802" max="1802" width="24.7109375" style="484" customWidth="1"/>
    <col min="1803" max="1803" width="27.28515625" style="484" customWidth="1"/>
    <col min="1804" max="1804" width="32" style="484" customWidth="1"/>
    <col min="1805" max="1805" width="25.5703125" style="484" customWidth="1"/>
    <col min="1806" max="1806" width="27.28515625" style="484" customWidth="1"/>
    <col min="1807" max="1807" width="31.42578125" style="484" customWidth="1"/>
    <col min="1808" max="1808" width="30.5703125" style="484" customWidth="1"/>
    <col min="1809" max="1809" width="27.28515625" style="484" customWidth="1"/>
    <col min="1810" max="1810" width="32.5703125" style="484" customWidth="1"/>
    <col min="1811" max="1811" width="30.42578125" style="484" customWidth="1"/>
    <col min="1812" max="1812" width="24.28515625" style="484" customWidth="1"/>
    <col min="1813" max="1813" width="28" style="484" customWidth="1"/>
    <col min="1814" max="1814" width="19.42578125" style="484" customWidth="1"/>
    <col min="1815" max="2051" width="9.28515625" style="484"/>
    <col min="2052" max="2052" width="14.5703125" style="484" customWidth="1"/>
    <col min="2053" max="2053" width="14.42578125" style="484" customWidth="1"/>
    <col min="2054" max="2054" width="58.28515625" style="484" customWidth="1"/>
    <col min="2055" max="2055" width="30.42578125" style="484" customWidth="1"/>
    <col min="2056" max="2056" width="27.28515625" style="484" customWidth="1"/>
    <col min="2057" max="2057" width="30.7109375" style="484" customWidth="1"/>
    <col min="2058" max="2058" width="24.7109375" style="484" customWidth="1"/>
    <col min="2059" max="2059" width="27.28515625" style="484" customWidth="1"/>
    <col min="2060" max="2060" width="32" style="484" customWidth="1"/>
    <col min="2061" max="2061" width="25.5703125" style="484" customWidth="1"/>
    <col min="2062" max="2062" width="27.28515625" style="484" customWidth="1"/>
    <col min="2063" max="2063" width="31.42578125" style="484" customWidth="1"/>
    <col min="2064" max="2064" width="30.5703125" style="484" customWidth="1"/>
    <col min="2065" max="2065" width="27.28515625" style="484" customWidth="1"/>
    <col min="2066" max="2066" width="32.5703125" style="484" customWidth="1"/>
    <col min="2067" max="2067" width="30.42578125" style="484" customWidth="1"/>
    <col min="2068" max="2068" width="24.28515625" style="484" customWidth="1"/>
    <col min="2069" max="2069" width="28" style="484" customWidth="1"/>
    <col min="2070" max="2070" width="19.42578125" style="484" customWidth="1"/>
    <col min="2071" max="2307" width="9.28515625" style="484"/>
    <col min="2308" max="2308" width="14.5703125" style="484" customWidth="1"/>
    <col min="2309" max="2309" width="14.42578125" style="484" customWidth="1"/>
    <col min="2310" max="2310" width="58.28515625" style="484" customWidth="1"/>
    <col min="2311" max="2311" width="30.42578125" style="484" customWidth="1"/>
    <col min="2312" max="2312" width="27.28515625" style="484" customWidth="1"/>
    <col min="2313" max="2313" width="30.7109375" style="484" customWidth="1"/>
    <col min="2314" max="2314" width="24.7109375" style="484" customWidth="1"/>
    <col min="2315" max="2315" width="27.28515625" style="484" customWidth="1"/>
    <col min="2316" max="2316" width="32" style="484" customWidth="1"/>
    <col min="2317" max="2317" width="25.5703125" style="484" customWidth="1"/>
    <col min="2318" max="2318" width="27.28515625" style="484" customWidth="1"/>
    <col min="2319" max="2319" width="31.42578125" style="484" customWidth="1"/>
    <col min="2320" max="2320" width="30.5703125" style="484" customWidth="1"/>
    <col min="2321" max="2321" width="27.28515625" style="484" customWidth="1"/>
    <col min="2322" max="2322" width="32.5703125" style="484" customWidth="1"/>
    <col min="2323" max="2323" width="30.42578125" style="484" customWidth="1"/>
    <col min="2324" max="2324" width="24.28515625" style="484" customWidth="1"/>
    <col min="2325" max="2325" width="28" style="484" customWidth="1"/>
    <col min="2326" max="2326" width="19.42578125" style="484" customWidth="1"/>
    <col min="2327" max="2563" width="9.28515625" style="484"/>
    <col min="2564" max="2564" width="14.5703125" style="484" customWidth="1"/>
    <col min="2565" max="2565" width="14.42578125" style="484" customWidth="1"/>
    <col min="2566" max="2566" width="58.28515625" style="484" customWidth="1"/>
    <col min="2567" max="2567" width="30.42578125" style="484" customWidth="1"/>
    <col min="2568" max="2568" width="27.28515625" style="484" customWidth="1"/>
    <col min="2569" max="2569" width="30.7109375" style="484" customWidth="1"/>
    <col min="2570" max="2570" width="24.7109375" style="484" customWidth="1"/>
    <col min="2571" max="2571" width="27.28515625" style="484" customWidth="1"/>
    <col min="2572" max="2572" width="32" style="484" customWidth="1"/>
    <col min="2573" max="2573" width="25.5703125" style="484" customWidth="1"/>
    <col min="2574" max="2574" width="27.28515625" style="484" customWidth="1"/>
    <col min="2575" max="2575" width="31.42578125" style="484" customWidth="1"/>
    <col min="2576" max="2576" width="30.5703125" style="484" customWidth="1"/>
    <col min="2577" max="2577" width="27.28515625" style="484" customWidth="1"/>
    <col min="2578" max="2578" width="32.5703125" style="484" customWidth="1"/>
    <col min="2579" max="2579" width="30.42578125" style="484" customWidth="1"/>
    <col min="2580" max="2580" width="24.28515625" style="484" customWidth="1"/>
    <col min="2581" max="2581" width="28" style="484" customWidth="1"/>
    <col min="2582" max="2582" width="19.42578125" style="484" customWidth="1"/>
    <col min="2583" max="2819" width="9.28515625" style="484"/>
    <col min="2820" max="2820" width="14.5703125" style="484" customWidth="1"/>
    <col min="2821" max="2821" width="14.42578125" style="484" customWidth="1"/>
    <col min="2822" max="2822" width="58.28515625" style="484" customWidth="1"/>
    <col min="2823" max="2823" width="30.42578125" style="484" customWidth="1"/>
    <col min="2824" max="2824" width="27.28515625" style="484" customWidth="1"/>
    <col min="2825" max="2825" width="30.7109375" style="484" customWidth="1"/>
    <col min="2826" max="2826" width="24.7109375" style="484" customWidth="1"/>
    <col min="2827" max="2827" width="27.28515625" style="484" customWidth="1"/>
    <col min="2828" max="2828" width="32" style="484" customWidth="1"/>
    <col min="2829" max="2829" width="25.5703125" style="484" customWidth="1"/>
    <col min="2830" max="2830" width="27.28515625" style="484" customWidth="1"/>
    <col min="2831" max="2831" width="31.42578125" style="484" customWidth="1"/>
    <col min="2832" max="2832" width="30.5703125" style="484" customWidth="1"/>
    <col min="2833" max="2833" width="27.28515625" style="484" customWidth="1"/>
    <col min="2834" max="2834" width="32.5703125" style="484" customWidth="1"/>
    <col min="2835" max="2835" width="30.42578125" style="484" customWidth="1"/>
    <col min="2836" max="2836" width="24.28515625" style="484" customWidth="1"/>
    <col min="2837" max="2837" width="28" style="484" customWidth="1"/>
    <col min="2838" max="2838" width="19.42578125" style="484" customWidth="1"/>
    <col min="2839" max="3075" width="9.28515625" style="484"/>
    <col min="3076" max="3076" width="14.5703125" style="484" customWidth="1"/>
    <col min="3077" max="3077" width="14.42578125" style="484" customWidth="1"/>
    <col min="3078" max="3078" width="58.28515625" style="484" customWidth="1"/>
    <col min="3079" max="3079" width="30.42578125" style="484" customWidth="1"/>
    <col min="3080" max="3080" width="27.28515625" style="484" customWidth="1"/>
    <col min="3081" max="3081" width="30.7109375" style="484" customWidth="1"/>
    <col min="3082" max="3082" width="24.7109375" style="484" customWidth="1"/>
    <col min="3083" max="3083" width="27.28515625" style="484" customWidth="1"/>
    <col min="3084" max="3084" width="32" style="484" customWidth="1"/>
    <col min="3085" max="3085" width="25.5703125" style="484" customWidth="1"/>
    <col min="3086" max="3086" width="27.28515625" style="484" customWidth="1"/>
    <col min="3087" max="3087" width="31.42578125" style="484" customWidth="1"/>
    <col min="3088" max="3088" width="30.5703125" style="484" customWidth="1"/>
    <col min="3089" max="3089" width="27.28515625" style="484" customWidth="1"/>
    <col min="3090" max="3090" width="32.5703125" style="484" customWidth="1"/>
    <col min="3091" max="3091" width="30.42578125" style="484" customWidth="1"/>
    <col min="3092" max="3092" width="24.28515625" style="484" customWidth="1"/>
    <col min="3093" max="3093" width="28" style="484" customWidth="1"/>
    <col min="3094" max="3094" width="19.42578125" style="484" customWidth="1"/>
    <col min="3095" max="3331" width="9.28515625" style="484"/>
    <col min="3332" max="3332" width="14.5703125" style="484" customWidth="1"/>
    <col min="3333" max="3333" width="14.42578125" style="484" customWidth="1"/>
    <col min="3334" max="3334" width="58.28515625" style="484" customWidth="1"/>
    <col min="3335" max="3335" width="30.42578125" style="484" customWidth="1"/>
    <col min="3336" max="3336" width="27.28515625" style="484" customWidth="1"/>
    <col min="3337" max="3337" width="30.7109375" style="484" customWidth="1"/>
    <col min="3338" max="3338" width="24.7109375" style="484" customWidth="1"/>
    <col min="3339" max="3339" width="27.28515625" style="484" customWidth="1"/>
    <col min="3340" max="3340" width="32" style="484" customWidth="1"/>
    <col min="3341" max="3341" width="25.5703125" style="484" customWidth="1"/>
    <col min="3342" max="3342" width="27.28515625" style="484" customWidth="1"/>
    <col min="3343" max="3343" width="31.42578125" style="484" customWidth="1"/>
    <col min="3344" max="3344" width="30.5703125" style="484" customWidth="1"/>
    <col min="3345" max="3345" width="27.28515625" style="484" customWidth="1"/>
    <col min="3346" max="3346" width="32.5703125" style="484" customWidth="1"/>
    <col min="3347" max="3347" width="30.42578125" style="484" customWidth="1"/>
    <col min="3348" max="3348" width="24.28515625" style="484" customWidth="1"/>
    <col min="3349" max="3349" width="28" style="484" customWidth="1"/>
    <col min="3350" max="3350" width="19.42578125" style="484" customWidth="1"/>
    <col min="3351" max="3587" width="9.28515625" style="484"/>
    <col min="3588" max="3588" width="14.5703125" style="484" customWidth="1"/>
    <col min="3589" max="3589" width="14.42578125" style="484" customWidth="1"/>
    <col min="3590" max="3590" width="58.28515625" style="484" customWidth="1"/>
    <col min="3591" max="3591" width="30.42578125" style="484" customWidth="1"/>
    <col min="3592" max="3592" width="27.28515625" style="484" customWidth="1"/>
    <col min="3593" max="3593" width="30.7109375" style="484" customWidth="1"/>
    <col min="3594" max="3594" width="24.7109375" style="484" customWidth="1"/>
    <col min="3595" max="3595" width="27.28515625" style="484" customWidth="1"/>
    <col min="3596" max="3596" width="32" style="484" customWidth="1"/>
    <col min="3597" max="3597" width="25.5703125" style="484" customWidth="1"/>
    <col min="3598" max="3598" width="27.28515625" style="484" customWidth="1"/>
    <col min="3599" max="3599" width="31.42578125" style="484" customWidth="1"/>
    <col min="3600" max="3600" width="30.5703125" style="484" customWidth="1"/>
    <col min="3601" max="3601" width="27.28515625" style="484" customWidth="1"/>
    <col min="3602" max="3602" width="32.5703125" style="484" customWidth="1"/>
    <col min="3603" max="3603" width="30.42578125" style="484" customWidth="1"/>
    <col min="3604" max="3604" width="24.28515625" style="484" customWidth="1"/>
    <col min="3605" max="3605" width="28" style="484" customWidth="1"/>
    <col min="3606" max="3606" width="19.42578125" style="484" customWidth="1"/>
    <col min="3607" max="3843" width="9.28515625" style="484"/>
    <col min="3844" max="3844" width="14.5703125" style="484" customWidth="1"/>
    <col min="3845" max="3845" width="14.42578125" style="484" customWidth="1"/>
    <col min="3846" max="3846" width="58.28515625" style="484" customWidth="1"/>
    <col min="3847" max="3847" width="30.42578125" style="484" customWidth="1"/>
    <col min="3848" max="3848" width="27.28515625" style="484" customWidth="1"/>
    <col min="3849" max="3849" width="30.7109375" style="484" customWidth="1"/>
    <col min="3850" max="3850" width="24.7109375" style="484" customWidth="1"/>
    <col min="3851" max="3851" width="27.28515625" style="484" customWidth="1"/>
    <col min="3852" max="3852" width="32" style="484" customWidth="1"/>
    <col min="3853" max="3853" width="25.5703125" style="484" customWidth="1"/>
    <col min="3854" max="3854" width="27.28515625" style="484" customWidth="1"/>
    <col min="3855" max="3855" width="31.42578125" style="484" customWidth="1"/>
    <col min="3856" max="3856" width="30.5703125" style="484" customWidth="1"/>
    <col min="3857" max="3857" width="27.28515625" style="484" customWidth="1"/>
    <col min="3858" max="3858" width="32.5703125" style="484" customWidth="1"/>
    <col min="3859" max="3859" width="30.42578125" style="484" customWidth="1"/>
    <col min="3860" max="3860" width="24.28515625" style="484" customWidth="1"/>
    <col min="3861" max="3861" width="28" style="484" customWidth="1"/>
    <col min="3862" max="3862" width="19.42578125" style="484" customWidth="1"/>
    <col min="3863" max="4099" width="9.28515625" style="484"/>
    <col min="4100" max="4100" width="14.5703125" style="484" customWidth="1"/>
    <col min="4101" max="4101" width="14.42578125" style="484" customWidth="1"/>
    <col min="4102" max="4102" width="58.28515625" style="484" customWidth="1"/>
    <col min="4103" max="4103" width="30.42578125" style="484" customWidth="1"/>
    <col min="4104" max="4104" width="27.28515625" style="484" customWidth="1"/>
    <col min="4105" max="4105" width="30.7109375" style="484" customWidth="1"/>
    <col min="4106" max="4106" width="24.7109375" style="484" customWidth="1"/>
    <col min="4107" max="4107" width="27.28515625" style="484" customWidth="1"/>
    <col min="4108" max="4108" width="32" style="484" customWidth="1"/>
    <col min="4109" max="4109" width="25.5703125" style="484" customWidth="1"/>
    <col min="4110" max="4110" width="27.28515625" style="484" customWidth="1"/>
    <col min="4111" max="4111" width="31.42578125" style="484" customWidth="1"/>
    <col min="4112" max="4112" width="30.5703125" style="484" customWidth="1"/>
    <col min="4113" max="4113" width="27.28515625" style="484" customWidth="1"/>
    <col min="4114" max="4114" width="32.5703125" style="484" customWidth="1"/>
    <col min="4115" max="4115" width="30.42578125" style="484" customWidth="1"/>
    <col min="4116" max="4116" width="24.28515625" style="484" customWidth="1"/>
    <col min="4117" max="4117" width="28" style="484" customWidth="1"/>
    <col min="4118" max="4118" width="19.42578125" style="484" customWidth="1"/>
    <col min="4119" max="4355" width="9.28515625" style="484"/>
    <col min="4356" max="4356" width="14.5703125" style="484" customWidth="1"/>
    <col min="4357" max="4357" width="14.42578125" style="484" customWidth="1"/>
    <col min="4358" max="4358" width="58.28515625" style="484" customWidth="1"/>
    <col min="4359" max="4359" width="30.42578125" style="484" customWidth="1"/>
    <col min="4360" max="4360" width="27.28515625" style="484" customWidth="1"/>
    <col min="4361" max="4361" width="30.7109375" style="484" customWidth="1"/>
    <col min="4362" max="4362" width="24.7109375" style="484" customWidth="1"/>
    <col min="4363" max="4363" width="27.28515625" style="484" customWidth="1"/>
    <col min="4364" max="4364" width="32" style="484" customWidth="1"/>
    <col min="4365" max="4365" width="25.5703125" style="484" customWidth="1"/>
    <col min="4366" max="4366" width="27.28515625" style="484" customWidth="1"/>
    <col min="4367" max="4367" width="31.42578125" style="484" customWidth="1"/>
    <col min="4368" max="4368" width="30.5703125" style="484" customWidth="1"/>
    <col min="4369" max="4369" width="27.28515625" style="484" customWidth="1"/>
    <col min="4370" max="4370" width="32.5703125" style="484" customWidth="1"/>
    <col min="4371" max="4371" width="30.42578125" style="484" customWidth="1"/>
    <col min="4372" max="4372" width="24.28515625" style="484" customWidth="1"/>
    <col min="4373" max="4373" width="28" style="484" customWidth="1"/>
    <col min="4374" max="4374" width="19.42578125" style="484" customWidth="1"/>
    <col min="4375" max="4611" width="9.28515625" style="484"/>
    <col min="4612" max="4612" width="14.5703125" style="484" customWidth="1"/>
    <col min="4613" max="4613" width="14.42578125" style="484" customWidth="1"/>
    <col min="4614" max="4614" width="58.28515625" style="484" customWidth="1"/>
    <col min="4615" max="4615" width="30.42578125" style="484" customWidth="1"/>
    <col min="4616" max="4616" width="27.28515625" style="484" customWidth="1"/>
    <col min="4617" max="4617" width="30.7109375" style="484" customWidth="1"/>
    <col min="4618" max="4618" width="24.7109375" style="484" customWidth="1"/>
    <col min="4619" max="4619" width="27.28515625" style="484" customWidth="1"/>
    <col min="4620" max="4620" width="32" style="484" customWidth="1"/>
    <col min="4621" max="4621" width="25.5703125" style="484" customWidth="1"/>
    <col min="4622" max="4622" width="27.28515625" style="484" customWidth="1"/>
    <col min="4623" max="4623" width="31.42578125" style="484" customWidth="1"/>
    <col min="4624" max="4624" width="30.5703125" style="484" customWidth="1"/>
    <col min="4625" max="4625" width="27.28515625" style="484" customWidth="1"/>
    <col min="4626" max="4626" width="32.5703125" style="484" customWidth="1"/>
    <col min="4627" max="4627" width="30.42578125" style="484" customWidth="1"/>
    <col min="4628" max="4628" width="24.28515625" style="484" customWidth="1"/>
    <col min="4629" max="4629" width="28" style="484" customWidth="1"/>
    <col min="4630" max="4630" width="19.42578125" style="484" customWidth="1"/>
    <col min="4631" max="4867" width="9.28515625" style="484"/>
    <col min="4868" max="4868" width="14.5703125" style="484" customWidth="1"/>
    <col min="4869" max="4869" width="14.42578125" style="484" customWidth="1"/>
    <col min="4870" max="4870" width="58.28515625" style="484" customWidth="1"/>
    <col min="4871" max="4871" width="30.42578125" style="484" customWidth="1"/>
    <col min="4872" max="4872" width="27.28515625" style="484" customWidth="1"/>
    <col min="4873" max="4873" width="30.7109375" style="484" customWidth="1"/>
    <col min="4874" max="4874" width="24.7109375" style="484" customWidth="1"/>
    <col min="4875" max="4875" width="27.28515625" style="484" customWidth="1"/>
    <col min="4876" max="4876" width="32" style="484" customWidth="1"/>
    <col min="4877" max="4877" width="25.5703125" style="484" customWidth="1"/>
    <col min="4878" max="4878" width="27.28515625" style="484" customWidth="1"/>
    <col min="4879" max="4879" width="31.42578125" style="484" customWidth="1"/>
    <col min="4880" max="4880" width="30.5703125" style="484" customWidth="1"/>
    <col min="4881" max="4881" width="27.28515625" style="484" customWidth="1"/>
    <col min="4882" max="4882" width="32.5703125" style="484" customWidth="1"/>
    <col min="4883" max="4883" width="30.42578125" style="484" customWidth="1"/>
    <col min="4884" max="4884" width="24.28515625" style="484" customWidth="1"/>
    <col min="4885" max="4885" width="28" style="484" customWidth="1"/>
    <col min="4886" max="4886" width="19.42578125" style="484" customWidth="1"/>
    <col min="4887" max="5123" width="9.28515625" style="484"/>
    <col min="5124" max="5124" width="14.5703125" style="484" customWidth="1"/>
    <col min="5125" max="5125" width="14.42578125" style="484" customWidth="1"/>
    <col min="5126" max="5126" width="58.28515625" style="484" customWidth="1"/>
    <col min="5127" max="5127" width="30.42578125" style="484" customWidth="1"/>
    <col min="5128" max="5128" width="27.28515625" style="484" customWidth="1"/>
    <col min="5129" max="5129" width="30.7109375" style="484" customWidth="1"/>
    <col min="5130" max="5130" width="24.7109375" style="484" customWidth="1"/>
    <col min="5131" max="5131" width="27.28515625" style="484" customWidth="1"/>
    <col min="5132" max="5132" width="32" style="484" customWidth="1"/>
    <col min="5133" max="5133" width="25.5703125" style="484" customWidth="1"/>
    <col min="5134" max="5134" width="27.28515625" style="484" customWidth="1"/>
    <col min="5135" max="5135" width="31.42578125" style="484" customWidth="1"/>
    <col min="5136" max="5136" width="30.5703125" style="484" customWidth="1"/>
    <col min="5137" max="5137" width="27.28515625" style="484" customWidth="1"/>
    <col min="5138" max="5138" width="32.5703125" style="484" customWidth="1"/>
    <col min="5139" max="5139" width="30.42578125" style="484" customWidth="1"/>
    <col min="5140" max="5140" width="24.28515625" style="484" customWidth="1"/>
    <col min="5141" max="5141" width="28" style="484" customWidth="1"/>
    <col min="5142" max="5142" width="19.42578125" style="484" customWidth="1"/>
    <col min="5143" max="5379" width="9.28515625" style="484"/>
    <col min="5380" max="5380" width="14.5703125" style="484" customWidth="1"/>
    <col min="5381" max="5381" width="14.42578125" style="484" customWidth="1"/>
    <col min="5382" max="5382" width="58.28515625" style="484" customWidth="1"/>
    <col min="5383" max="5383" width="30.42578125" style="484" customWidth="1"/>
    <col min="5384" max="5384" width="27.28515625" style="484" customWidth="1"/>
    <col min="5385" max="5385" width="30.7109375" style="484" customWidth="1"/>
    <col min="5386" max="5386" width="24.7109375" style="484" customWidth="1"/>
    <col min="5387" max="5387" width="27.28515625" style="484" customWidth="1"/>
    <col min="5388" max="5388" width="32" style="484" customWidth="1"/>
    <col min="5389" max="5389" width="25.5703125" style="484" customWidth="1"/>
    <col min="5390" max="5390" width="27.28515625" style="484" customWidth="1"/>
    <col min="5391" max="5391" width="31.42578125" style="484" customWidth="1"/>
    <col min="5392" max="5392" width="30.5703125" style="484" customWidth="1"/>
    <col min="5393" max="5393" width="27.28515625" style="484" customWidth="1"/>
    <col min="5394" max="5394" width="32.5703125" style="484" customWidth="1"/>
    <col min="5395" max="5395" width="30.42578125" style="484" customWidth="1"/>
    <col min="5396" max="5396" width="24.28515625" style="484" customWidth="1"/>
    <col min="5397" max="5397" width="28" style="484" customWidth="1"/>
    <col min="5398" max="5398" width="19.42578125" style="484" customWidth="1"/>
    <col min="5399" max="5635" width="9.28515625" style="484"/>
    <col min="5636" max="5636" width="14.5703125" style="484" customWidth="1"/>
    <col min="5637" max="5637" width="14.42578125" style="484" customWidth="1"/>
    <col min="5638" max="5638" width="58.28515625" style="484" customWidth="1"/>
    <col min="5639" max="5639" width="30.42578125" style="484" customWidth="1"/>
    <col min="5640" max="5640" width="27.28515625" style="484" customWidth="1"/>
    <col min="5641" max="5641" width="30.7109375" style="484" customWidth="1"/>
    <col min="5642" max="5642" width="24.7109375" style="484" customWidth="1"/>
    <col min="5643" max="5643" width="27.28515625" style="484" customWidth="1"/>
    <col min="5644" max="5644" width="32" style="484" customWidth="1"/>
    <col min="5645" max="5645" width="25.5703125" style="484" customWidth="1"/>
    <col min="5646" max="5646" width="27.28515625" style="484" customWidth="1"/>
    <col min="5647" max="5647" width="31.42578125" style="484" customWidth="1"/>
    <col min="5648" max="5648" width="30.5703125" style="484" customWidth="1"/>
    <col min="5649" max="5649" width="27.28515625" style="484" customWidth="1"/>
    <col min="5650" max="5650" width="32.5703125" style="484" customWidth="1"/>
    <col min="5651" max="5651" width="30.42578125" style="484" customWidth="1"/>
    <col min="5652" max="5652" width="24.28515625" style="484" customWidth="1"/>
    <col min="5653" max="5653" width="28" style="484" customWidth="1"/>
    <col min="5654" max="5654" width="19.42578125" style="484" customWidth="1"/>
    <col min="5655" max="5891" width="9.28515625" style="484"/>
    <col min="5892" max="5892" width="14.5703125" style="484" customWidth="1"/>
    <col min="5893" max="5893" width="14.42578125" style="484" customWidth="1"/>
    <col min="5894" max="5894" width="58.28515625" style="484" customWidth="1"/>
    <col min="5895" max="5895" width="30.42578125" style="484" customWidth="1"/>
    <col min="5896" max="5896" width="27.28515625" style="484" customWidth="1"/>
    <col min="5897" max="5897" width="30.7109375" style="484" customWidth="1"/>
    <col min="5898" max="5898" width="24.7109375" style="484" customWidth="1"/>
    <col min="5899" max="5899" width="27.28515625" style="484" customWidth="1"/>
    <col min="5900" max="5900" width="32" style="484" customWidth="1"/>
    <col min="5901" max="5901" width="25.5703125" style="484" customWidth="1"/>
    <col min="5902" max="5902" width="27.28515625" style="484" customWidth="1"/>
    <col min="5903" max="5903" width="31.42578125" style="484" customWidth="1"/>
    <col min="5904" max="5904" width="30.5703125" style="484" customWidth="1"/>
    <col min="5905" max="5905" width="27.28515625" style="484" customWidth="1"/>
    <col min="5906" max="5906" width="32.5703125" style="484" customWidth="1"/>
    <col min="5907" max="5907" width="30.42578125" style="484" customWidth="1"/>
    <col min="5908" max="5908" width="24.28515625" style="484" customWidth="1"/>
    <col min="5909" max="5909" width="28" style="484" customWidth="1"/>
    <col min="5910" max="5910" width="19.42578125" style="484" customWidth="1"/>
    <col min="5911" max="6147" width="9.28515625" style="484"/>
    <col min="6148" max="6148" width="14.5703125" style="484" customWidth="1"/>
    <col min="6149" max="6149" width="14.42578125" style="484" customWidth="1"/>
    <col min="6150" max="6150" width="58.28515625" style="484" customWidth="1"/>
    <col min="6151" max="6151" width="30.42578125" style="484" customWidth="1"/>
    <col min="6152" max="6152" width="27.28515625" style="484" customWidth="1"/>
    <col min="6153" max="6153" width="30.7109375" style="484" customWidth="1"/>
    <col min="6154" max="6154" width="24.7109375" style="484" customWidth="1"/>
    <col min="6155" max="6155" width="27.28515625" style="484" customWidth="1"/>
    <col min="6156" max="6156" width="32" style="484" customWidth="1"/>
    <col min="6157" max="6157" width="25.5703125" style="484" customWidth="1"/>
    <col min="6158" max="6158" width="27.28515625" style="484" customWidth="1"/>
    <col min="6159" max="6159" width="31.42578125" style="484" customWidth="1"/>
    <col min="6160" max="6160" width="30.5703125" style="484" customWidth="1"/>
    <col min="6161" max="6161" width="27.28515625" style="484" customWidth="1"/>
    <col min="6162" max="6162" width="32.5703125" style="484" customWidth="1"/>
    <col min="6163" max="6163" width="30.42578125" style="484" customWidth="1"/>
    <col min="6164" max="6164" width="24.28515625" style="484" customWidth="1"/>
    <col min="6165" max="6165" width="28" style="484" customWidth="1"/>
    <col min="6166" max="6166" width="19.42578125" style="484" customWidth="1"/>
    <col min="6167" max="6403" width="9.28515625" style="484"/>
    <col min="6404" max="6404" width="14.5703125" style="484" customWidth="1"/>
    <col min="6405" max="6405" width="14.42578125" style="484" customWidth="1"/>
    <col min="6406" max="6406" width="58.28515625" style="484" customWidth="1"/>
    <col min="6407" max="6407" width="30.42578125" style="484" customWidth="1"/>
    <col min="6408" max="6408" width="27.28515625" style="484" customWidth="1"/>
    <col min="6409" max="6409" width="30.7109375" style="484" customWidth="1"/>
    <col min="6410" max="6410" width="24.7109375" style="484" customWidth="1"/>
    <col min="6411" max="6411" width="27.28515625" style="484" customWidth="1"/>
    <col min="6412" max="6412" width="32" style="484" customWidth="1"/>
    <col min="6413" max="6413" width="25.5703125" style="484" customWidth="1"/>
    <col min="6414" max="6414" width="27.28515625" style="484" customWidth="1"/>
    <col min="6415" max="6415" width="31.42578125" style="484" customWidth="1"/>
    <col min="6416" max="6416" width="30.5703125" style="484" customWidth="1"/>
    <col min="6417" max="6417" width="27.28515625" style="484" customWidth="1"/>
    <col min="6418" max="6418" width="32.5703125" style="484" customWidth="1"/>
    <col min="6419" max="6419" width="30.42578125" style="484" customWidth="1"/>
    <col min="6420" max="6420" width="24.28515625" style="484" customWidth="1"/>
    <col min="6421" max="6421" width="28" style="484" customWidth="1"/>
    <col min="6422" max="6422" width="19.42578125" style="484" customWidth="1"/>
    <col min="6423" max="6659" width="9.28515625" style="484"/>
    <col min="6660" max="6660" width="14.5703125" style="484" customWidth="1"/>
    <col min="6661" max="6661" width="14.42578125" style="484" customWidth="1"/>
    <col min="6662" max="6662" width="58.28515625" style="484" customWidth="1"/>
    <col min="6663" max="6663" width="30.42578125" style="484" customWidth="1"/>
    <col min="6664" max="6664" width="27.28515625" style="484" customWidth="1"/>
    <col min="6665" max="6665" width="30.7109375" style="484" customWidth="1"/>
    <col min="6666" max="6666" width="24.7109375" style="484" customWidth="1"/>
    <col min="6667" max="6667" width="27.28515625" style="484" customWidth="1"/>
    <col min="6668" max="6668" width="32" style="484" customWidth="1"/>
    <col min="6669" max="6669" width="25.5703125" style="484" customWidth="1"/>
    <col min="6670" max="6670" width="27.28515625" style="484" customWidth="1"/>
    <col min="6671" max="6671" width="31.42578125" style="484" customWidth="1"/>
    <col min="6672" max="6672" width="30.5703125" style="484" customWidth="1"/>
    <col min="6673" max="6673" width="27.28515625" style="484" customWidth="1"/>
    <col min="6674" max="6674" width="32.5703125" style="484" customWidth="1"/>
    <col min="6675" max="6675" width="30.42578125" style="484" customWidth="1"/>
    <col min="6676" max="6676" width="24.28515625" style="484" customWidth="1"/>
    <col min="6677" max="6677" width="28" style="484" customWidth="1"/>
    <col min="6678" max="6678" width="19.42578125" style="484" customWidth="1"/>
    <col min="6679" max="6915" width="9.28515625" style="484"/>
    <col min="6916" max="6916" width="14.5703125" style="484" customWidth="1"/>
    <col min="6917" max="6917" width="14.42578125" style="484" customWidth="1"/>
    <col min="6918" max="6918" width="58.28515625" style="484" customWidth="1"/>
    <col min="6919" max="6919" width="30.42578125" style="484" customWidth="1"/>
    <col min="6920" max="6920" width="27.28515625" style="484" customWidth="1"/>
    <col min="6921" max="6921" width="30.7109375" style="484" customWidth="1"/>
    <col min="6922" max="6922" width="24.7109375" style="484" customWidth="1"/>
    <col min="6923" max="6923" width="27.28515625" style="484" customWidth="1"/>
    <col min="6924" max="6924" width="32" style="484" customWidth="1"/>
    <col min="6925" max="6925" width="25.5703125" style="484" customWidth="1"/>
    <col min="6926" max="6926" width="27.28515625" style="484" customWidth="1"/>
    <col min="6927" max="6927" width="31.42578125" style="484" customWidth="1"/>
    <col min="6928" max="6928" width="30.5703125" style="484" customWidth="1"/>
    <col min="6929" max="6929" width="27.28515625" style="484" customWidth="1"/>
    <col min="6930" max="6930" width="32.5703125" style="484" customWidth="1"/>
    <col min="6931" max="6931" width="30.42578125" style="484" customWidth="1"/>
    <col min="6932" max="6932" width="24.28515625" style="484" customWidth="1"/>
    <col min="6933" max="6933" width="28" style="484" customWidth="1"/>
    <col min="6934" max="6934" width="19.42578125" style="484" customWidth="1"/>
    <col min="6935" max="7171" width="9.28515625" style="484"/>
    <col min="7172" max="7172" width="14.5703125" style="484" customWidth="1"/>
    <col min="7173" max="7173" width="14.42578125" style="484" customWidth="1"/>
    <col min="7174" max="7174" width="58.28515625" style="484" customWidth="1"/>
    <col min="7175" max="7175" width="30.42578125" style="484" customWidth="1"/>
    <col min="7176" max="7176" width="27.28515625" style="484" customWidth="1"/>
    <col min="7177" max="7177" width="30.7109375" style="484" customWidth="1"/>
    <col min="7178" max="7178" width="24.7109375" style="484" customWidth="1"/>
    <col min="7179" max="7179" width="27.28515625" style="484" customWidth="1"/>
    <col min="7180" max="7180" width="32" style="484" customWidth="1"/>
    <col min="7181" max="7181" width="25.5703125" style="484" customWidth="1"/>
    <col min="7182" max="7182" width="27.28515625" style="484" customWidth="1"/>
    <col min="7183" max="7183" width="31.42578125" style="484" customWidth="1"/>
    <col min="7184" max="7184" width="30.5703125" style="484" customWidth="1"/>
    <col min="7185" max="7185" width="27.28515625" style="484" customWidth="1"/>
    <col min="7186" max="7186" width="32.5703125" style="484" customWidth="1"/>
    <col min="7187" max="7187" width="30.42578125" style="484" customWidth="1"/>
    <col min="7188" max="7188" width="24.28515625" style="484" customWidth="1"/>
    <col min="7189" max="7189" width="28" style="484" customWidth="1"/>
    <col min="7190" max="7190" width="19.42578125" style="484" customWidth="1"/>
    <col min="7191" max="7427" width="9.28515625" style="484"/>
    <col min="7428" max="7428" width="14.5703125" style="484" customWidth="1"/>
    <col min="7429" max="7429" width="14.42578125" style="484" customWidth="1"/>
    <col min="7430" max="7430" width="58.28515625" style="484" customWidth="1"/>
    <col min="7431" max="7431" width="30.42578125" style="484" customWidth="1"/>
    <col min="7432" max="7432" width="27.28515625" style="484" customWidth="1"/>
    <col min="7433" max="7433" width="30.7109375" style="484" customWidth="1"/>
    <col min="7434" max="7434" width="24.7109375" style="484" customWidth="1"/>
    <col min="7435" max="7435" width="27.28515625" style="484" customWidth="1"/>
    <col min="7436" max="7436" width="32" style="484" customWidth="1"/>
    <col min="7437" max="7437" width="25.5703125" style="484" customWidth="1"/>
    <col min="7438" max="7438" width="27.28515625" style="484" customWidth="1"/>
    <col min="7439" max="7439" width="31.42578125" style="484" customWidth="1"/>
    <col min="7440" max="7440" width="30.5703125" style="484" customWidth="1"/>
    <col min="7441" max="7441" width="27.28515625" style="484" customWidth="1"/>
    <col min="7442" max="7442" width="32.5703125" style="484" customWidth="1"/>
    <col min="7443" max="7443" width="30.42578125" style="484" customWidth="1"/>
    <col min="7444" max="7444" width="24.28515625" style="484" customWidth="1"/>
    <col min="7445" max="7445" width="28" style="484" customWidth="1"/>
    <col min="7446" max="7446" width="19.42578125" style="484" customWidth="1"/>
    <col min="7447" max="7683" width="9.28515625" style="484"/>
    <col min="7684" max="7684" width="14.5703125" style="484" customWidth="1"/>
    <col min="7685" max="7685" width="14.42578125" style="484" customWidth="1"/>
    <col min="7686" max="7686" width="58.28515625" style="484" customWidth="1"/>
    <col min="7687" max="7687" width="30.42578125" style="484" customWidth="1"/>
    <col min="7688" max="7688" width="27.28515625" style="484" customWidth="1"/>
    <col min="7689" max="7689" width="30.7109375" style="484" customWidth="1"/>
    <col min="7690" max="7690" width="24.7109375" style="484" customWidth="1"/>
    <col min="7691" max="7691" width="27.28515625" style="484" customWidth="1"/>
    <col min="7692" max="7692" width="32" style="484" customWidth="1"/>
    <col min="7693" max="7693" width="25.5703125" style="484" customWidth="1"/>
    <col min="7694" max="7694" width="27.28515625" style="484" customWidth="1"/>
    <col min="7695" max="7695" width="31.42578125" style="484" customWidth="1"/>
    <col min="7696" max="7696" width="30.5703125" style="484" customWidth="1"/>
    <col min="7697" max="7697" width="27.28515625" style="484" customWidth="1"/>
    <col min="7698" max="7698" width="32.5703125" style="484" customWidth="1"/>
    <col min="7699" max="7699" width="30.42578125" style="484" customWidth="1"/>
    <col min="7700" max="7700" width="24.28515625" style="484" customWidth="1"/>
    <col min="7701" max="7701" width="28" style="484" customWidth="1"/>
    <col min="7702" max="7702" width="19.42578125" style="484" customWidth="1"/>
    <col min="7703" max="7939" width="9.28515625" style="484"/>
    <col min="7940" max="7940" width="14.5703125" style="484" customWidth="1"/>
    <col min="7941" max="7941" width="14.42578125" style="484" customWidth="1"/>
    <col min="7942" max="7942" width="58.28515625" style="484" customWidth="1"/>
    <col min="7943" max="7943" width="30.42578125" style="484" customWidth="1"/>
    <col min="7944" max="7944" width="27.28515625" style="484" customWidth="1"/>
    <col min="7945" max="7945" width="30.7109375" style="484" customWidth="1"/>
    <col min="7946" max="7946" width="24.7109375" style="484" customWidth="1"/>
    <col min="7947" max="7947" width="27.28515625" style="484" customWidth="1"/>
    <col min="7948" max="7948" width="32" style="484" customWidth="1"/>
    <col min="7949" max="7949" width="25.5703125" style="484" customWidth="1"/>
    <col min="7950" max="7950" width="27.28515625" style="484" customWidth="1"/>
    <col min="7951" max="7951" width="31.42578125" style="484" customWidth="1"/>
    <col min="7952" max="7952" width="30.5703125" style="484" customWidth="1"/>
    <col min="7953" max="7953" width="27.28515625" style="484" customWidth="1"/>
    <col min="7954" max="7954" width="32.5703125" style="484" customWidth="1"/>
    <col min="7955" max="7955" width="30.42578125" style="484" customWidth="1"/>
    <col min="7956" max="7956" width="24.28515625" style="484" customWidth="1"/>
    <col min="7957" max="7957" width="28" style="484" customWidth="1"/>
    <col min="7958" max="7958" width="19.42578125" style="484" customWidth="1"/>
    <col min="7959" max="8195" width="9.28515625" style="484"/>
    <col min="8196" max="8196" width="14.5703125" style="484" customWidth="1"/>
    <col min="8197" max="8197" width="14.42578125" style="484" customWidth="1"/>
    <col min="8198" max="8198" width="58.28515625" style="484" customWidth="1"/>
    <col min="8199" max="8199" width="30.42578125" style="484" customWidth="1"/>
    <col min="8200" max="8200" width="27.28515625" style="484" customWidth="1"/>
    <col min="8201" max="8201" width="30.7109375" style="484" customWidth="1"/>
    <col min="8202" max="8202" width="24.7109375" style="484" customWidth="1"/>
    <col min="8203" max="8203" width="27.28515625" style="484" customWidth="1"/>
    <col min="8204" max="8204" width="32" style="484" customWidth="1"/>
    <col min="8205" max="8205" width="25.5703125" style="484" customWidth="1"/>
    <col min="8206" max="8206" width="27.28515625" style="484" customWidth="1"/>
    <col min="8207" max="8207" width="31.42578125" style="484" customWidth="1"/>
    <col min="8208" max="8208" width="30.5703125" style="484" customWidth="1"/>
    <col min="8209" max="8209" width="27.28515625" style="484" customWidth="1"/>
    <col min="8210" max="8210" width="32.5703125" style="484" customWidth="1"/>
    <col min="8211" max="8211" width="30.42578125" style="484" customWidth="1"/>
    <col min="8212" max="8212" width="24.28515625" style="484" customWidth="1"/>
    <col min="8213" max="8213" width="28" style="484" customWidth="1"/>
    <col min="8214" max="8214" width="19.42578125" style="484" customWidth="1"/>
    <col min="8215" max="8451" width="9.28515625" style="484"/>
    <col min="8452" max="8452" width="14.5703125" style="484" customWidth="1"/>
    <col min="8453" max="8453" width="14.42578125" style="484" customWidth="1"/>
    <col min="8454" max="8454" width="58.28515625" style="484" customWidth="1"/>
    <col min="8455" max="8455" width="30.42578125" style="484" customWidth="1"/>
    <col min="8456" max="8456" width="27.28515625" style="484" customWidth="1"/>
    <col min="8457" max="8457" width="30.7109375" style="484" customWidth="1"/>
    <col min="8458" max="8458" width="24.7109375" style="484" customWidth="1"/>
    <col min="8459" max="8459" width="27.28515625" style="484" customWidth="1"/>
    <col min="8460" max="8460" width="32" style="484" customWidth="1"/>
    <col min="8461" max="8461" width="25.5703125" style="484" customWidth="1"/>
    <col min="8462" max="8462" width="27.28515625" style="484" customWidth="1"/>
    <col min="8463" max="8463" width="31.42578125" style="484" customWidth="1"/>
    <col min="8464" max="8464" width="30.5703125" style="484" customWidth="1"/>
    <col min="8465" max="8465" width="27.28515625" style="484" customWidth="1"/>
    <col min="8466" max="8466" width="32.5703125" style="484" customWidth="1"/>
    <col min="8467" max="8467" width="30.42578125" style="484" customWidth="1"/>
    <col min="8468" max="8468" width="24.28515625" style="484" customWidth="1"/>
    <col min="8469" max="8469" width="28" style="484" customWidth="1"/>
    <col min="8470" max="8470" width="19.42578125" style="484" customWidth="1"/>
    <col min="8471" max="8707" width="9.28515625" style="484"/>
    <col min="8708" max="8708" width="14.5703125" style="484" customWidth="1"/>
    <col min="8709" max="8709" width="14.42578125" style="484" customWidth="1"/>
    <col min="8710" max="8710" width="58.28515625" style="484" customWidth="1"/>
    <col min="8711" max="8711" width="30.42578125" style="484" customWidth="1"/>
    <col min="8712" max="8712" width="27.28515625" style="484" customWidth="1"/>
    <col min="8713" max="8713" width="30.7109375" style="484" customWidth="1"/>
    <col min="8714" max="8714" width="24.7109375" style="484" customWidth="1"/>
    <col min="8715" max="8715" width="27.28515625" style="484" customWidth="1"/>
    <col min="8716" max="8716" width="32" style="484" customWidth="1"/>
    <col min="8717" max="8717" width="25.5703125" style="484" customWidth="1"/>
    <col min="8718" max="8718" width="27.28515625" style="484" customWidth="1"/>
    <col min="8719" max="8719" width="31.42578125" style="484" customWidth="1"/>
    <col min="8720" max="8720" width="30.5703125" style="484" customWidth="1"/>
    <col min="8721" max="8721" width="27.28515625" style="484" customWidth="1"/>
    <col min="8722" max="8722" width="32.5703125" style="484" customWidth="1"/>
    <col min="8723" max="8723" width="30.42578125" style="484" customWidth="1"/>
    <col min="8724" max="8724" width="24.28515625" style="484" customWidth="1"/>
    <col min="8725" max="8725" width="28" style="484" customWidth="1"/>
    <col min="8726" max="8726" width="19.42578125" style="484" customWidth="1"/>
    <col min="8727" max="8963" width="9.28515625" style="484"/>
    <col min="8964" max="8964" width="14.5703125" style="484" customWidth="1"/>
    <col min="8965" max="8965" width="14.42578125" style="484" customWidth="1"/>
    <col min="8966" max="8966" width="58.28515625" style="484" customWidth="1"/>
    <col min="8967" max="8967" width="30.42578125" style="484" customWidth="1"/>
    <col min="8968" max="8968" width="27.28515625" style="484" customWidth="1"/>
    <col min="8969" max="8969" width="30.7109375" style="484" customWidth="1"/>
    <col min="8970" max="8970" width="24.7109375" style="484" customWidth="1"/>
    <col min="8971" max="8971" width="27.28515625" style="484" customWidth="1"/>
    <col min="8972" max="8972" width="32" style="484" customWidth="1"/>
    <col min="8973" max="8973" width="25.5703125" style="484" customWidth="1"/>
    <col min="8974" max="8974" width="27.28515625" style="484" customWidth="1"/>
    <col min="8975" max="8975" width="31.42578125" style="484" customWidth="1"/>
    <col min="8976" max="8976" width="30.5703125" style="484" customWidth="1"/>
    <col min="8977" max="8977" width="27.28515625" style="484" customWidth="1"/>
    <col min="8978" max="8978" width="32.5703125" style="484" customWidth="1"/>
    <col min="8979" max="8979" width="30.42578125" style="484" customWidth="1"/>
    <col min="8980" max="8980" width="24.28515625" style="484" customWidth="1"/>
    <col min="8981" max="8981" width="28" style="484" customWidth="1"/>
    <col min="8982" max="8982" width="19.42578125" style="484" customWidth="1"/>
    <col min="8983" max="9219" width="9.28515625" style="484"/>
    <col min="9220" max="9220" width="14.5703125" style="484" customWidth="1"/>
    <col min="9221" max="9221" width="14.42578125" style="484" customWidth="1"/>
    <col min="9222" max="9222" width="58.28515625" style="484" customWidth="1"/>
    <col min="9223" max="9223" width="30.42578125" style="484" customWidth="1"/>
    <col min="9224" max="9224" width="27.28515625" style="484" customWidth="1"/>
    <col min="9225" max="9225" width="30.7109375" style="484" customWidth="1"/>
    <col min="9226" max="9226" width="24.7109375" style="484" customWidth="1"/>
    <col min="9227" max="9227" width="27.28515625" style="484" customWidth="1"/>
    <col min="9228" max="9228" width="32" style="484" customWidth="1"/>
    <col min="9229" max="9229" width="25.5703125" style="484" customWidth="1"/>
    <col min="9230" max="9230" width="27.28515625" style="484" customWidth="1"/>
    <col min="9231" max="9231" width="31.42578125" style="484" customWidth="1"/>
    <col min="9232" max="9232" width="30.5703125" style="484" customWidth="1"/>
    <col min="9233" max="9233" width="27.28515625" style="484" customWidth="1"/>
    <col min="9234" max="9234" width="32.5703125" style="484" customWidth="1"/>
    <col min="9235" max="9235" width="30.42578125" style="484" customWidth="1"/>
    <col min="9236" max="9236" width="24.28515625" style="484" customWidth="1"/>
    <col min="9237" max="9237" width="28" style="484" customWidth="1"/>
    <col min="9238" max="9238" width="19.42578125" style="484" customWidth="1"/>
    <col min="9239" max="9475" width="9.28515625" style="484"/>
    <col min="9476" max="9476" width="14.5703125" style="484" customWidth="1"/>
    <col min="9477" max="9477" width="14.42578125" style="484" customWidth="1"/>
    <col min="9478" max="9478" width="58.28515625" style="484" customWidth="1"/>
    <col min="9479" max="9479" width="30.42578125" style="484" customWidth="1"/>
    <col min="9480" max="9480" width="27.28515625" style="484" customWidth="1"/>
    <col min="9481" max="9481" width="30.7109375" style="484" customWidth="1"/>
    <col min="9482" max="9482" width="24.7109375" style="484" customWidth="1"/>
    <col min="9483" max="9483" width="27.28515625" style="484" customWidth="1"/>
    <col min="9484" max="9484" width="32" style="484" customWidth="1"/>
    <col min="9485" max="9485" width="25.5703125" style="484" customWidth="1"/>
    <col min="9486" max="9486" width="27.28515625" style="484" customWidth="1"/>
    <col min="9487" max="9487" width="31.42578125" style="484" customWidth="1"/>
    <col min="9488" max="9488" width="30.5703125" style="484" customWidth="1"/>
    <col min="9489" max="9489" width="27.28515625" style="484" customWidth="1"/>
    <col min="9490" max="9490" width="32.5703125" style="484" customWidth="1"/>
    <col min="9491" max="9491" width="30.42578125" style="484" customWidth="1"/>
    <col min="9492" max="9492" width="24.28515625" style="484" customWidth="1"/>
    <col min="9493" max="9493" width="28" style="484" customWidth="1"/>
    <col min="9494" max="9494" width="19.42578125" style="484" customWidth="1"/>
    <col min="9495" max="9731" width="9.28515625" style="484"/>
    <col min="9732" max="9732" width="14.5703125" style="484" customWidth="1"/>
    <col min="9733" max="9733" width="14.42578125" style="484" customWidth="1"/>
    <col min="9734" max="9734" width="58.28515625" style="484" customWidth="1"/>
    <col min="9735" max="9735" width="30.42578125" style="484" customWidth="1"/>
    <col min="9736" max="9736" width="27.28515625" style="484" customWidth="1"/>
    <col min="9737" max="9737" width="30.7109375" style="484" customWidth="1"/>
    <col min="9738" max="9738" width="24.7109375" style="484" customWidth="1"/>
    <col min="9739" max="9739" width="27.28515625" style="484" customWidth="1"/>
    <col min="9740" max="9740" width="32" style="484" customWidth="1"/>
    <col min="9741" max="9741" width="25.5703125" style="484" customWidth="1"/>
    <col min="9742" max="9742" width="27.28515625" style="484" customWidth="1"/>
    <col min="9743" max="9743" width="31.42578125" style="484" customWidth="1"/>
    <col min="9744" max="9744" width="30.5703125" style="484" customWidth="1"/>
    <col min="9745" max="9745" width="27.28515625" style="484" customWidth="1"/>
    <col min="9746" max="9746" width="32.5703125" style="484" customWidth="1"/>
    <col min="9747" max="9747" width="30.42578125" style="484" customWidth="1"/>
    <col min="9748" max="9748" width="24.28515625" style="484" customWidth="1"/>
    <col min="9749" max="9749" width="28" style="484" customWidth="1"/>
    <col min="9750" max="9750" width="19.42578125" style="484" customWidth="1"/>
    <col min="9751" max="9987" width="9.28515625" style="484"/>
    <col min="9988" max="9988" width="14.5703125" style="484" customWidth="1"/>
    <col min="9989" max="9989" width="14.42578125" style="484" customWidth="1"/>
    <col min="9990" max="9990" width="58.28515625" style="484" customWidth="1"/>
    <col min="9991" max="9991" width="30.42578125" style="484" customWidth="1"/>
    <col min="9992" max="9992" width="27.28515625" style="484" customWidth="1"/>
    <col min="9993" max="9993" width="30.7109375" style="484" customWidth="1"/>
    <col min="9994" max="9994" width="24.7109375" style="484" customWidth="1"/>
    <col min="9995" max="9995" width="27.28515625" style="484" customWidth="1"/>
    <col min="9996" max="9996" width="32" style="484" customWidth="1"/>
    <col min="9997" max="9997" width="25.5703125" style="484" customWidth="1"/>
    <col min="9998" max="9998" width="27.28515625" style="484" customWidth="1"/>
    <col min="9999" max="9999" width="31.42578125" style="484" customWidth="1"/>
    <col min="10000" max="10000" width="30.5703125" style="484" customWidth="1"/>
    <col min="10001" max="10001" width="27.28515625" style="484" customWidth="1"/>
    <col min="10002" max="10002" width="32.5703125" style="484" customWidth="1"/>
    <col min="10003" max="10003" width="30.42578125" style="484" customWidth="1"/>
    <col min="10004" max="10004" width="24.28515625" style="484" customWidth="1"/>
    <col min="10005" max="10005" width="28" style="484" customWidth="1"/>
    <col min="10006" max="10006" width="19.42578125" style="484" customWidth="1"/>
    <col min="10007" max="10243" width="9.28515625" style="484"/>
    <col min="10244" max="10244" width="14.5703125" style="484" customWidth="1"/>
    <col min="10245" max="10245" width="14.42578125" style="484" customWidth="1"/>
    <col min="10246" max="10246" width="58.28515625" style="484" customWidth="1"/>
    <col min="10247" max="10247" width="30.42578125" style="484" customWidth="1"/>
    <col min="10248" max="10248" width="27.28515625" style="484" customWidth="1"/>
    <col min="10249" max="10249" width="30.7109375" style="484" customWidth="1"/>
    <col min="10250" max="10250" width="24.7109375" style="484" customWidth="1"/>
    <col min="10251" max="10251" width="27.28515625" style="484" customWidth="1"/>
    <col min="10252" max="10252" width="32" style="484" customWidth="1"/>
    <col min="10253" max="10253" width="25.5703125" style="484" customWidth="1"/>
    <col min="10254" max="10254" width="27.28515625" style="484" customWidth="1"/>
    <col min="10255" max="10255" width="31.42578125" style="484" customWidth="1"/>
    <col min="10256" max="10256" width="30.5703125" style="484" customWidth="1"/>
    <col min="10257" max="10257" width="27.28515625" style="484" customWidth="1"/>
    <col min="10258" max="10258" width="32.5703125" style="484" customWidth="1"/>
    <col min="10259" max="10259" width="30.42578125" style="484" customWidth="1"/>
    <col min="10260" max="10260" width="24.28515625" style="484" customWidth="1"/>
    <col min="10261" max="10261" width="28" style="484" customWidth="1"/>
    <col min="10262" max="10262" width="19.42578125" style="484" customWidth="1"/>
    <col min="10263" max="10499" width="9.28515625" style="484"/>
    <col min="10500" max="10500" width="14.5703125" style="484" customWidth="1"/>
    <col min="10501" max="10501" width="14.42578125" style="484" customWidth="1"/>
    <col min="10502" max="10502" width="58.28515625" style="484" customWidth="1"/>
    <col min="10503" max="10503" width="30.42578125" style="484" customWidth="1"/>
    <col min="10504" max="10504" width="27.28515625" style="484" customWidth="1"/>
    <col min="10505" max="10505" width="30.7109375" style="484" customWidth="1"/>
    <col min="10506" max="10506" width="24.7109375" style="484" customWidth="1"/>
    <col min="10507" max="10507" width="27.28515625" style="484" customWidth="1"/>
    <col min="10508" max="10508" width="32" style="484" customWidth="1"/>
    <col min="10509" max="10509" width="25.5703125" style="484" customWidth="1"/>
    <col min="10510" max="10510" width="27.28515625" style="484" customWidth="1"/>
    <col min="10511" max="10511" width="31.42578125" style="484" customWidth="1"/>
    <col min="10512" max="10512" width="30.5703125" style="484" customWidth="1"/>
    <col min="10513" max="10513" width="27.28515625" style="484" customWidth="1"/>
    <col min="10514" max="10514" width="32.5703125" style="484" customWidth="1"/>
    <col min="10515" max="10515" width="30.42578125" style="484" customWidth="1"/>
    <col min="10516" max="10516" width="24.28515625" style="484" customWidth="1"/>
    <col min="10517" max="10517" width="28" style="484" customWidth="1"/>
    <col min="10518" max="10518" width="19.42578125" style="484" customWidth="1"/>
    <col min="10519" max="10755" width="9.28515625" style="484"/>
    <col min="10756" max="10756" width="14.5703125" style="484" customWidth="1"/>
    <col min="10757" max="10757" width="14.42578125" style="484" customWidth="1"/>
    <col min="10758" max="10758" width="58.28515625" style="484" customWidth="1"/>
    <col min="10759" max="10759" width="30.42578125" style="484" customWidth="1"/>
    <col min="10760" max="10760" width="27.28515625" style="484" customWidth="1"/>
    <col min="10761" max="10761" width="30.7109375" style="484" customWidth="1"/>
    <col min="10762" max="10762" width="24.7109375" style="484" customWidth="1"/>
    <col min="10763" max="10763" width="27.28515625" style="484" customWidth="1"/>
    <col min="10764" max="10764" width="32" style="484" customWidth="1"/>
    <col min="10765" max="10765" width="25.5703125" style="484" customWidth="1"/>
    <col min="10766" max="10766" width="27.28515625" style="484" customWidth="1"/>
    <col min="10767" max="10767" width="31.42578125" style="484" customWidth="1"/>
    <col min="10768" max="10768" width="30.5703125" style="484" customWidth="1"/>
    <col min="10769" max="10769" width="27.28515625" style="484" customWidth="1"/>
    <col min="10770" max="10770" width="32.5703125" style="484" customWidth="1"/>
    <col min="10771" max="10771" width="30.42578125" style="484" customWidth="1"/>
    <col min="10772" max="10772" width="24.28515625" style="484" customWidth="1"/>
    <col min="10773" max="10773" width="28" style="484" customWidth="1"/>
    <col min="10774" max="10774" width="19.42578125" style="484" customWidth="1"/>
    <col min="10775" max="11011" width="9.28515625" style="484"/>
    <col min="11012" max="11012" width="14.5703125" style="484" customWidth="1"/>
    <col min="11013" max="11013" width="14.42578125" style="484" customWidth="1"/>
    <col min="11014" max="11014" width="58.28515625" style="484" customWidth="1"/>
    <col min="11015" max="11015" width="30.42578125" style="484" customWidth="1"/>
    <col min="11016" max="11016" width="27.28515625" style="484" customWidth="1"/>
    <col min="11017" max="11017" width="30.7109375" style="484" customWidth="1"/>
    <col min="11018" max="11018" width="24.7109375" style="484" customWidth="1"/>
    <col min="11019" max="11019" width="27.28515625" style="484" customWidth="1"/>
    <col min="11020" max="11020" width="32" style="484" customWidth="1"/>
    <col min="11021" max="11021" width="25.5703125" style="484" customWidth="1"/>
    <col min="11022" max="11022" width="27.28515625" style="484" customWidth="1"/>
    <col min="11023" max="11023" width="31.42578125" style="484" customWidth="1"/>
    <col min="11024" max="11024" width="30.5703125" style="484" customWidth="1"/>
    <col min="11025" max="11025" width="27.28515625" style="484" customWidth="1"/>
    <col min="11026" max="11026" width="32.5703125" style="484" customWidth="1"/>
    <col min="11027" max="11027" width="30.42578125" style="484" customWidth="1"/>
    <col min="11028" max="11028" width="24.28515625" style="484" customWidth="1"/>
    <col min="11029" max="11029" width="28" style="484" customWidth="1"/>
    <col min="11030" max="11030" width="19.42578125" style="484" customWidth="1"/>
    <col min="11031" max="11267" width="9.28515625" style="484"/>
    <col min="11268" max="11268" width="14.5703125" style="484" customWidth="1"/>
    <col min="11269" max="11269" width="14.42578125" style="484" customWidth="1"/>
    <col min="11270" max="11270" width="58.28515625" style="484" customWidth="1"/>
    <col min="11271" max="11271" width="30.42578125" style="484" customWidth="1"/>
    <col min="11272" max="11272" width="27.28515625" style="484" customWidth="1"/>
    <col min="11273" max="11273" width="30.7109375" style="484" customWidth="1"/>
    <col min="11274" max="11274" width="24.7109375" style="484" customWidth="1"/>
    <col min="11275" max="11275" width="27.28515625" style="484" customWidth="1"/>
    <col min="11276" max="11276" width="32" style="484" customWidth="1"/>
    <col min="11277" max="11277" width="25.5703125" style="484" customWidth="1"/>
    <col min="11278" max="11278" width="27.28515625" style="484" customWidth="1"/>
    <col min="11279" max="11279" width="31.42578125" style="484" customWidth="1"/>
    <col min="11280" max="11280" width="30.5703125" style="484" customWidth="1"/>
    <col min="11281" max="11281" width="27.28515625" style="484" customWidth="1"/>
    <col min="11282" max="11282" width="32.5703125" style="484" customWidth="1"/>
    <col min="11283" max="11283" width="30.42578125" style="484" customWidth="1"/>
    <col min="11284" max="11284" width="24.28515625" style="484" customWidth="1"/>
    <col min="11285" max="11285" width="28" style="484" customWidth="1"/>
    <col min="11286" max="11286" width="19.42578125" style="484" customWidth="1"/>
    <col min="11287" max="11523" width="9.28515625" style="484"/>
    <col min="11524" max="11524" width="14.5703125" style="484" customWidth="1"/>
    <col min="11525" max="11525" width="14.42578125" style="484" customWidth="1"/>
    <col min="11526" max="11526" width="58.28515625" style="484" customWidth="1"/>
    <col min="11527" max="11527" width="30.42578125" style="484" customWidth="1"/>
    <col min="11528" max="11528" width="27.28515625" style="484" customWidth="1"/>
    <col min="11529" max="11529" width="30.7109375" style="484" customWidth="1"/>
    <col min="11530" max="11530" width="24.7109375" style="484" customWidth="1"/>
    <col min="11531" max="11531" width="27.28515625" style="484" customWidth="1"/>
    <col min="11532" max="11532" width="32" style="484" customWidth="1"/>
    <col min="11533" max="11533" width="25.5703125" style="484" customWidth="1"/>
    <col min="11534" max="11534" width="27.28515625" style="484" customWidth="1"/>
    <col min="11535" max="11535" width="31.42578125" style="484" customWidth="1"/>
    <col min="11536" max="11536" width="30.5703125" style="484" customWidth="1"/>
    <col min="11537" max="11537" width="27.28515625" style="484" customWidth="1"/>
    <col min="11538" max="11538" width="32.5703125" style="484" customWidth="1"/>
    <col min="11539" max="11539" width="30.42578125" style="484" customWidth="1"/>
    <col min="11540" max="11540" width="24.28515625" style="484" customWidth="1"/>
    <col min="11541" max="11541" width="28" style="484" customWidth="1"/>
    <col min="11542" max="11542" width="19.42578125" style="484" customWidth="1"/>
    <col min="11543" max="11779" width="9.28515625" style="484"/>
    <col min="11780" max="11780" width="14.5703125" style="484" customWidth="1"/>
    <col min="11781" max="11781" width="14.42578125" style="484" customWidth="1"/>
    <col min="11782" max="11782" width="58.28515625" style="484" customWidth="1"/>
    <col min="11783" max="11783" width="30.42578125" style="484" customWidth="1"/>
    <col min="11784" max="11784" width="27.28515625" style="484" customWidth="1"/>
    <col min="11785" max="11785" width="30.7109375" style="484" customWidth="1"/>
    <col min="11786" max="11786" width="24.7109375" style="484" customWidth="1"/>
    <col min="11787" max="11787" width="27.28515625" style="484" customWidth="1"/>
    <col min="11788" max="11788" width="32" style="484" customWidth="1"/>
    <col min="11789" max="11789" width="25.5703125" style="484" customWidth="1"/>
    <col min="11790" max="11790" width="27.28515625" style="484" customWidth="1"/>
    <col min="11791" max="11791" width="31.42578125" style="484" customWidth="1"/>
    <col min="11792" max="11792" width="30.5703125" style="484" customWidth="1"/>
    <col min="11793" max="11793" width="27.28515625" style="484" customWidth="1"/>
    <col min="11794" max="11794" width="32.5703125" style="484" customWidth="1"/>
    <col min="11795" max="11795" width="30.42578125" style="484" customWidth="1"/>
    <col min="11796" max="11796" width="24.28515625" style="484" customWidth="1"/>
    <col min="11797" max="11797" width="28" style="484" customWidth="1"/>
    <col min="11798" max="11798" width="19.42578125" style="484" customWidth="1"/>
    <col min="11799" max="12035" width="9.28515625" style="484"/>
    <col min="12036" max="12036" width="14.5703125" style="484" customWidth="1"/>
    <col min="12037" max="12037" width="14.42578125" style="484" customWidth="1"/>
    <col min="12038" max="12038" width="58.28515625" style="484" customWidth="1"/>
    <col min="12039" max="12039" width="30.42578125" style="484" customWidth="1"/>
    <col min="12040" max="12040" width="27.28515625" style="484" customWidth="1"/>
    <col min="12041" max="12041" width="30.7109375" style="484" customWidth="1"/>
    <col min="12042" max="12042" width="24.7109375" style="484" customWidth="1"/>
    <col min="12043" max="12043" width="27.28515625" style="484" customWidth="1"/>
    <col min="12044" max="12044" width="32" style="484" customWidth="1"/>
    <col min="12045" max="12045" width="25.5703125" style="484" customWidth="1"/>
    <col min="12046" max="12046" width="27.28515625" style="484" customWidth="1"/>
    <col min="12047" max="12047" width="31.42578125" style="484" customWidth="1"/>
    <col min="12048" max="12048" width="30.5703125" style="484" customWidth="1"/>
    <col min="12049" max="12049" width="27.28515625" style="484" customWidth="1"/>
    <col min="12050" max="12050" width="32.5703125" style="484" customWidth="1"/>
    <col min="12051" max="12051" width="30.42578125" style="484" customWidth="1"/>
    <col min="12052" max="12052" width="24.28515625" style="484" customWidth="1"/>
    <col min="12053" max="12053" width="28" style="484" customWidth="1"/>
    <col min="12054" max="12054" width="19.42578125" style="484" customWidth="1"/>
    <col min="12055" max="12291" width="9.28515625" style="484"/>
    <col min="12292" max="12292" width="14.5703125" style="484" customWidth="1"/>
    <col min="12293" max="12293" width="14.42578125" style="484" customWidth="1"/>
    <col min="12294" max="12294" width="58.28515625" style="484" customWidth="1"/>
    <col min="12295" max="12295" width="30.42578125" style="484" customWidth="1"/>
    <col min="12296" max="12296" width="27.28515625" style="484" customWidth="1"/>
    <col min="12297" max="12297" width="30.7109375" style="484" customWidth="1"/>
    <col min="12298" max="12298" width="24.7109375" style="484" customWidth="1"/>
    <col min="12299" max="12299" width="27.28515625" style="484" customWidth="1"/>
    <col min="12300" max="12300" width="32" style="484" customWidth="1"/>
    <col min="12301" max="12301" width="25.5703125" style="484" customWidth="1"/>
    <col min="12302" max="12302" width="27.28515625" style="484" customWidth="1"/>
    <col min="12303" max="12303" width="31.42578125" style="484" customWidth="1"/>
    <col min="12304" max="12304" width="30.5703125" style="484" customWidth="1"/>
    <col min="12305" max="12305" width="27.28515625" style="484" customWidth="1"/>
    <col min="12306" max="12306" width="32.5703125" style="484" customWidth="1"/>
    <col min="12307" max="12307" width="30.42578125" style="484" customWidth="1"/>
    <col min="12308" max="12308" width="24.28515625" style="484" customWidth="1"/>
    <col min="12309" max="12309" width="28" style="484" customWidth="1"/>
    <col min="12310" max="12310" width="19.42578125" style="484" customWidth="1"/>
    <col min="12311" max="12547" width="9.28515625" style="484"/>
    <col min="12548" max="12548" width="14.5703125" style="484" customWidth="1"/>
    <col min="12549" max="12549" width="14.42578125" style="484" customWidth="1"/>
    <col min="12550" max="12550" width="58.28515625" style="484" customWidth="1"/>
    <col min="12551" max="12551" width="30.42578125" style="484" customWidth="1"/>
    <col min="12552" max="12552" width="27.28515625" style="484" customWidth="1"/>
    <col min="12553" max="12553" width="30.7109375" style="484" customWidth="1"/>
    <col min="12554" max="12554" width="24.7109375" style="484" customWidth="1"/>
    <col min="12555" max="12555" width="27.28515625" style="484" customWidth="1"/>
    <col min="12556" max="12556" width="32" style="484" customWidth="1"/>
    <col min="12557" max="12557" width="25.5703125" style="484" customWidth="1"/>
    <col min="12558" max="12558" width="27.28515625" style="484" customWidth="1"/>
    <col min="12559" max="12559" width="31.42578125" style="484" customWidth="1"/>
    <col min="12560" max="12560" width="30.5703125" style="484" customWidth="1"/>
    <col min="12561" max="12561" width="27.28515625" style="484" customWidth="1"/>
    <col min="12562" max="12562" width="32.5703125" style="484" customWidth="1"/>
    <col min="12563" max="12563" width="30.42578125" style="484" customWidth="1"/>
    <col min="12564" max="12564" width="24.28515625" style="484" customWidth="1"/>
    <col min="12565" max="12565" width="28" style="484" customWidth="1"/>
    <col min="12566" max="12566" width="19.42578125" style="484" customWidth="1"/>
    <col min="12567" max="12803" width="9.28515625" style="484"/>
    <col min="12804" max="12804" width="14.5703125" style="484" customWidth="1"/>
    <col min="12805" max="12805" width="14.42578125" style="484" customWidth="1"/>
    <col min="12806" max="12806" width="58.28515625" style="484" customWidth="1"/>
    <col min="12807" max="12807" width="30.42578125" style="484" customWidth="1"/>
    <col min="12808" max="12808" width="27.28515625" style="484" customWidth="1"/>
    <col min="12809" max="12809" width="30.7109375" style="484" customWidth="1"/>
    <col min="12810" max="12810" width="24.7109375" style="484" customWidth="1"/>
    <col min="12811" max="12811" width="27.28515625" style="484" customWidth="1"/>
    <col min="12812" max="12812" width="32" style="484" customWidth="1"/>
    <col min="12813" max="12813" width="25.5703125" style="484" customWidth="1"/>
    <col min="12814" max="12814" width="27.28515625" style="484" customWidth="1"/>
    <col min="12815" max="12815" width="31.42578125" style="484" customWidth="1"/>
    <col min="12816" max="12816" width="30.5703125" style="484" customWidth="1"/>
    <col min="12817" max="12817" width="27.28515625" style="484" customWidth="1"/>
    <col min="12818" max="12818" width="32.5703125" style="484" customWidth="1"/>
    <col min="12819" max="12819" width="30.42578125" style="484" customWidth="1"/>
    <col min="12820" max="12820" width="24.28515625" style="484" customWidth="1"/>
    <col min="12821" max="12821" width="28" style="484" customWidth="1"/>
    <col min="12822" max="12822" width="19.42578125" style="484" customWidth="1"/>
    <col min="12823" max="13059" width="9.28515625" style="484"/>
    <col min="13060" max="13060" width="14.5703125" style="484" customWidth="1"/>
    <col min="13061" max="13061" width="14.42578125" style="484" customWidth="1"/>
    <col min="13062" max="13062" width="58.28515625" style="484" customWidth="1"/>
    <col min="13063" max="13063" width="30.42578125" style="484" customWidth="1"/>
    <col min="13064" max="13064" width="27.28515625" style="484" customWidth="1"/>
    <col min="13065" max="13065" width="30.7109375" style="484" customWidth="1"/>
    <col min="13066" max="13066" width="24.7109375" style="484" customWidth="1"/>
    <col min="13067" max="13067" width="27.28515625" style="484" customWidth="1"/>
    <col min="13068" max="13068" width="32" style="484" customWidth="1"/>
    <col min="13069" max="13069" width="25.5703125" style="484" customWidth="1"/>
    <col min="13070" max="13070" width="27.28515625" style="484" customWidth="1"/>
    <col min="13071" max="13071" width="31.42578125" style="484" customWidth="1"/>
    <col min="13072" max="13072" width="30.5703125" style="484" customWidth="1"/>
    <col min="13073" max="13073" width="27.28515625" style="484" customWidth="1"/>
    <col min="13074" max="13074" width="32.5703125" style="484" customWidth="1"/>
    <col min="13075" max="13075" width="30.42578125" style="484" customWidth="1"/>
    <col min="13076" max="13076" width="24.28515625" style="484" customWidth="1"/>
    <col min="13077" max="13077" width="28" style="484" customWidth="1"/>
    <col min="13078" max="13078" width="19.42578125" style="484" customWidth="1"/>
    <col min="13079" max="13315" width="9.28515625" style="484"/>
    <col min="13316" max="13316" width="14.5703125" style="484" customWidth="1"/>
    <col min="13317" max="13317" width="14.42578125" style="484" customWidth="1"/>
    <col min="13318" max="13318" width="58.28515625" style="484" customWidth="1"/>
    <col min="13319" max="13319" width="30.42578125" style="484" customWidth="1"/>
    <col min="13320" max="13320" width="27.28515625" style="484" customWidth="1"/>
    <col min="13321" max="13321" width="30.7109375" style="484" customWidth="1"/>
    <col min="13322" max="13322" width="24.7109375" style="484" customWidth="1"/>
    <col min="13323" max="13323" width="27.28515625" style="484" customWidth="1"/>
    <col min="13324" max="13324" width="32" style="484" customWidth="1"/>
    <col min="13325" max="13325" width="25.5703125" style="484" customWidth="1"/>
    <col min="13326" max="13326" width="27.28515625" style="484" customWidth="1"/>
    <col min="13327" max="13327" width="31.42578125" style="484" customWidth="1"/>
    <col min="13328" max="13328" width="30.5703125" style="484" customWidth="1"/>
    <col min="13329" max="13329" width="27.28515625" style="484" customWidth="1"/>
    <col min="13330" max="13330" width="32.5703125" style="484" customWidth="1"/>
    <col min="13331" max="13331" width="30.42578125" style="484" customWidth="1"/>
    <col min="13332" max="13332" width="24.28515625" style="484" customWidth="1"/>
    <col min="13333" max="13333" width="28" style="484" customWidth="1"/>
    <col min="13334" max="13334" width="19.42578125" style="484" customWidth="1"/>
    <col min="13335" max="13571" width="9.28515625" style="484"/>
    <col min="13572" max="13572" width="14.5703125" style="484" customWidth="1"/>
    <col min="13573" max="13573" width="14.42578125" style="484" customWidth="1"/>
    <col min="13574" max="13574" width="58.28515625" style="484" customWidth="1"/>
    <col min="13575" max="13575" width="30.42578125" style="484" customWidth="1"/>
    <col min="13576" max="13576" width="27.28515625" style="484" customWidth="1"/>
    <col min="13577" max="13577" width="30.7109375" style="484" customWidth="1"/>
    <col min="13578" max="13578" width="24.7109375" style="484" customWidth="1"/>
    <col min="13579" max="13579" width="27.28515625" style="484" customWidth="1"/>
    <col min="13580" max="13580" width="32" style="484" customWidth="1"/>
    <col min="13581" max="13581" width="25.5703125" style="484" customWidth="1"/>
    <col min="13582" max="13582" width="27.28515625" style="484" customWidth="1"/>
    <col min="13583" max="13583" width="31.42578125" style="484" customWidth="1"/>
    <col min="13584" max="13584" width="30.5703125" style="484" customWidth="1"/>
    <col min="13585" max="13585" width="27.28515625" style="484" customWidth="1"/>
    <col min="13586" max="13586" width="32.5703125" style="484" customWidth="1"/>
    <col min="13587" max="13587" width="30.42578125" style="484" customWidth="1"/>
    <col min="13588" max="13588" width="24.28515625" style="484" customWidth="1"/>
    <col min="13589" max="13589" width="28" style="484" customWidth="1"/>
    <col min="13590" max="13590" width="19.42578125" style="484" customWidth="1"/>
    <col min="13591" max="13827" width="9.28515625" style="484"/>
    <col min="13828" max="13828" width="14.5703125" style="484" customWidth="1"/>
    <col min="13829" max="13829" width="14.42578125" style="484" customWidth="1"/>
    <col min="13830" max="13830" width="58.28515625" style="484" customWidth="1"/>
    <col min="13831" max="13831" width="30.42578125" style="484" customWidth="1"/>
    <col min="13832" max="13832" width="27.28515625" style="484" customWidth="1"/>
    <col min="13833" max="13833" width="30.7109375" style="484" customWidth="1"/>
    <col min="13834" max="13834" width="24.7109375" style="484" customWidth="1"/>
    <col min="13835" max="13835" width="27.28515625" style="484" customWidth="1"/>
    <col min="13836" max="13836" width="32" style="484" customWidth="1"/>
    <col min="13837" max="13837" width="25.5703125" style="484" customWidth="1"/>
    <col min="13838" max="13838" width="27.28515625" style="484" customWidth="1"/>
    <col min="13839" max="13839" width="31.42578125" style="484" customWidth="1"/>
    <col min="13840" max="13840" width="30.5703125" style="484" customWidth="1"/>
    <col min="13841" max="13841" width="27.28515625" style="484" customWidth="1"/>
    <col min="13842" max="13842" width="32.5703125" style="484" customWidth="1"/>
    <col min="13843" max="13843" width="30.42578125" style="484" customWidth="1"/>
    <col min="13844" max="13844" width="24.28515625" style="484" customWidth="1"/>
    <col min="13845" max="13845" width="28" style="484" customWidth="1"/>
    <col min="13846" max="13846" width="19.42578125" style="484" customWidth="1"/>
    <col min="13847" max="14083" width="9.28515625" style="484"/>
    <col min="14084" max="14084" width="14.5703125" style="484" customWidth="1"/>
    <col min="14085" max="14085" width="14.42578125" style="484" customWidth="1"/>
    <col min="14086" max="14086" width="58.28515625" style="484" customWidth="1"/>
    <col min="14087" max="14087" width="30.42578125" style="484" customWidth="1"/>
    <col min="14088" max="14088" width="27.28515625" style="484" customWidth="1"/>
    <col min="14089" max="14089" width="30.7109375" style="484" customWidth="1"/>
    <col min="14090" max="14090" width="24.7109375" style="484" customWidth="1"/>
    <col min="14091" max="14091" width="27.28515625" style="484" customWidth="1"/>
    <col min="14092" max="14092" width="32" style="484" customWidth="1"/>
    <col min="14093" max="14093" width="25.5703125" style="484" customWidth="1"/>
    <col min="14094" max="14094" width="27.28515625" style="484" customWidth="1"/>
    <col min="14095" max="14095" width="31.42578125" style="484" customWidth="1"/>
    <col min="14096" max="14096" width="30.5703125" style="484" customWidth="1"/>
    <col min="14097" max="14097" width="27.28515625" style="484" customWidth="1"/>
    <col min="14098" max="14098" width="32.5703125" style="484" customWidth="1"/>
    <col min="14099" max="14099" width="30.42578125" style="484" customWidth="1"/>
    <col min="14100" max="14100" width="24.28515625" style="484" customWidth="1"/>
    <col min="14101" max="14101" width="28" style="484" customWidth="1"/>
    <col min="14102" max="14102" width="19.42578125" style="484" customWidth="1"/>
    <col min="14103" max="14339" width="9.28515625" style="484"/>
    <col min="14340" max="14340" width="14.5703125" style="484" customWidth="1"/>
    <col min="14341" max="14341" width="14.42578125" style="484" customWidth="1"/>
    <col min="14342" max="14342" width="58.28515625" style="484" customWidth="1"/>
    <col min="14343" max="14343" width="30.42578125" style="484" customWidth="1"/>
    <col min="14344" max="14344" width="27.28515625" style="484" customWidth="1"/>
    <col min="14345" max="14345" width="30.7109375" style="484" customWidth="1"/>
    <col min="14346" max="14346" width="24.7109375" style="484" customWidth="1"/>
    <col min="14347" max="14347" width="27.28515625" style="484" customWidth="1"/>
    <col min="14348" max="14348" width="32" style="484" customWidth="1"/>
    <col min="14349" max="14349" width="25.5703125" style="484" customWidth="1"/>
    <col min="14350" max="14350" width="27.28515625" style="484" customWidth="1"/>
    <col min="14351" max="14351" width="31.42578125" style="484" customWidth="1"/>
    <col min="14352" max="14352" width="30.5703125" style="484" customWidth="1"/>
    <col min="14353" max="14353" width="27.28515625" style="484" customWidth="1"/>
    <col min="14354" max="14354" width="32.5703125" style="484" customWidth="1"/>
    <col min="14355" max="14355" width="30.42578125" style="484" customWidth="1"/>
    <col min="14356" max="14356" width="24.28515625" style="484" customWidth="1"/>
    <col min="14357" max="14357" width="28" style="484" customWidth="1"/>
    <col min="14358" max="14358" width="19.42578125" style="484" customWidth="1"/>
    <col min="14359" max="14595" width="9.28515625" style="484"/>
    <col min="14596" max="14596" width="14.5703125" style="484" customWidth="1"/>
    <col min="14597" max="14597" width="14.42578125" style="484" customWidth="1"/>
    <col min="14598" max="14598" width="58.28515625" style="484" customWidth="1"/>
    <col min="14599" max="14599" width="30.42578125" style="484" customWidth="1"/>
    <col min="14600" max="14600" width="27.28515625" style="484" customWidth="1"/>
    <col min="14601" max="14601" width="30.7109375" style="484" customWidth="1"/>
    <col min="14602" max="14602" width="24.7109375" style="484" customWidth="1"/>
    <col min="14603" max="14603" width="27.28515625" style="484" customWidth="1"/>
    <col min="14604" max="14604" width="32" style="484" customWidth="1"/>
    <col min="14605" max="14605" width="25.5703125" style="484" customWidth="1"/>
    <col min="14606" max="14606" width="27.28515625" style="484" customWidth="1"/>
    <col min="14607" max="14607" width="31.42578125" style="484" customWidth="1"/>
    <col min="14608" max="14608" width="30.5703125" style="484" customWidth="1"/>
    <col min="14609" max="14609" width="27.28515625" style="484" customWidth="1"/>
    <col min="14610" max="14610" width="32.5703125" style="484" customWidth="1"/>
    <col min="14611" max="14611" width="30.42578125" style="484" customWidth="1"/>
    <col min="14612" max="14612" width="24.28515625" style="484" customWidth="1"/>
    <col min="14613" max="14613" width="28" style="484" customWidth="1"/>
    <col min="14614" max="14614" width="19.42578125" style="484" customWidth="1"/>
    <col min="14615" max="14851" width="9.28515625" style="484"/>
    <col min="14852" max="14852" width="14.5703125" style="484" customWidth="1"/>
    <col min="14853" max="14853" width="14.42578125" style="484" customWidth="1"/>
    <col min="14854" max="14854" width="58.28515625" style="484" customWidth="1"/>
    <col min="14855" max="14855" width="30.42578125" style="484" customWidth="1"/>
    <col min="14856" max="14856" width="27.28515625" style="484" customWidth="1"/>
    <col min="14857" max="14857" width="30.7109375" style="484" customWidth="1"/>
    <col min="14858" max="14858" width="24.7109375" style="484" customWidth="1"/>
    <col min="14859" max="14859" width="27.28515625" style="484" customWidth="1"/>
    <col min="14860" max="14860" width="32" style="484" customWidth="1"/>
    <col min="14861" max="14861" width="25.5703125" style="484" customWidth="1"/>
    <col min="14862" max="14862" width="27.28515625" style="484" customWidth="1"/>
    <col min="14863" max="14863" width="31.42578125" style="484" customWidth="1"/>
    <col min="14864" max="14864" width="30.5703125" style="484" customWidth="1"/>
    <col min="14865" max="14865" width="27.28515625" style="484" customWidth="1"/>
    <col min="14866" max="14866" width="32.5703125" style="484" customWidth="1"/>
    <col min="14867" max="14867" width="30.42578125" style="484" customWidth="1"/>
    <col min="14868" max="14868" width="24.28515625" style="484" customWidth="1"/>
    <col min="14869" max="14869" width="28" style="484" customWidth="1"/>
    <col min="14870" max="14870" width="19.42578125" style="484" customWidth="1"/>
    <col min="14871" max="15107" width="9.28515625" style="484"/>
    <col min="15108" max="15108" width="14.5703125" style="484" customWidth="1"/>
    <col min="15109" max="15109" width="14.42578125" style="484" customWidth="1"/>
    <col min="15110" max="15110" width="58.28515625" style="484" customWidth="1"/>
    <col min="15111" max="15111" width="30.42578125" style="484" customWidth="1"/>
    <col min="15112" max="15112" width="27.28515625" style="484" customWidth="1"/>
    <col min="15113" max="15113" width="30.7109375" style="484" customWidth="1"/>
    <col min="15114" max="15114" width="24.7109375" style="484" customWidth="1"/>
    <col min="15115" max="15115" width="27.28515625" style="484" customWidth="1"/>
    <col min="15116" max="15116" width="32" style="484" customWidth="1"/>
    <col min="15117" max="15117" width="25.5703125" style="484" customWidth="1"/>
    <col min="15118" max="15118" width="27.28515625" style="484" customWidth="1"/>
    <col min="15119" max="15119" width="31.42578125" style="484" customWidth="1"/>
    <col min="15120" max="15120" width="30.5703125" style="484" customWidth="1"/>
    <col min="15121" max="15121" width="27.28515625" style="484" customWidth="1"/>
    <col min="15122" max="15122" width="32.5703125" style="484" customWidth="1"/>
    <col min="15123" max="15123" width="30.42578125" style="484" customWidth="1"/>
    <col min="15124" max="15124" width="24.28515625" style="484" customWidth="1"/>
    <col min="15125" max="15125" width="28" style="484" customWidth="1"/>
    <col min="15126" max="15126" width="19.42578125" style="484" customWidth="1"/>
    <col min="15127" max="15363" width="9.28515625" style="484"/>
    <col min="15364" max="15364" width="14.5703125" style="484" customWidth="1"/>
    <col min="15365" max="15365" width="14.42578125" style="484" customWidth="1"/>
    <col min="15366" max="15366" width="58.28515625" style="484" customWidth="1"/>
    <col min="15367" max="15367" width="30.42578125" style="484" customWidth="1"/>
    <col min="15368" max="15368" width="27.28515625" style="484" customWidth="1"/>
    <col min="15369" max="15369" width="30.7109375" style="484" customWidth="1"/>
    <col min="15370" max="15370" width="24.7109375" style="484" customWidth="1"/>
    <col min="15371" max="15371" width="27.28515625" style="484" customWidth="1"/>
    <col min="15372" max="15372" width="32" style="484" customWidth="1"/>
    <col min="15373" max="15373" width="25.5703125" style="484" customWidth="1"/>
    <col min="15374" max="15374" width="27.28515625" style="484" customWidth="1"/>
    <col min="15375" max="15375" width="31.42578125" style="484" customWidth="1"/>
    <col min="15376" max="15376" width="30.5703125" style="484" customWidth="1"/>
    <col min="15377" max="15377" width="27.28515625" style="484" customWidth="1"/>
    <col min="15378" max="15378" width="32.5703125" style="484" customWidth="1"/>
    <col min="15379" max="15379" width="30.42578125" style="484" customWidth="1"/>
    <col min="15380" max="15380" width="24.28515625" style="484" customWidth="1"/>
    <col min="15381" max="15381" width="28" style="484" customWidth="1"/>
    <col min="15382" max="15382" width="19.42578125" style="484" customWidth="1"/>
    <col min="15383" max="15619" width="9.28515625" style="484"/>
    <col min="15620" max="15620" width="14.5703125" style="484" customWidth="1"/>
    <col min="15621" max="15621" width="14.42578125" style="484" customWidth="1"/>
    <col min="15622" max="15622" width="58.28515625" style="484" customWidth="1"/>
    <col min="15623" max="15623" width="30.42578125" style="484" customWidth="1"/>
    <col min="15624" max="15624" width="27.28515625" style="484" customWidth="1"/>
    <col min="15625" max="15625" width="30.7109375" style="484" customWidth="1"/>
    <col min="15626" max="15626" width="24.7109375" style="484" customWidth="1"/>
    <col min="15627" max="15627" width="27.28515625" style="484" customWidth="1"/>
    <col min="15628" max="15628" width="32" style="484" customWidth="1"/>
    <col min="15629" max="15629" width="25.5703125" style="484" customWidth="1"/>
    <col min="15630" max="15630" width="27.28515625" style="484" customWidth="1"/>
    <col min="15631" max="15631" width="31.42578125" style="484" customWidth="1"/>
    <col min="15632" max="15632" width="30.5703125" style="484" customWidth="1"/>
    <col min="15633" max="15633" width="27.28515625" style="484" customWidth="1"/>
    <col min="15634" max="15634" width="32.5703125" style="484" customWidth="1"/>
    <col min="15635" max="15635" width="30.42578125" style="484" customWidth="1"/>
    <col min="15636" max="15636" width="24.28515625" style="484" customWidth="1"/>
    <col min="15637" max="15637" width="28" style="484" customWidth="1"/>
    <col min="15638" max="15638" width="19.42578125" style="484" customWidth="1"/>
    <col min="15639" max="15875" width="9.28515625" style="484"/>
    <col min="15876" max="15876" width="14.5703125" style="484" customWidth="1"/>
    <col min="15877" max="15877" width="14.42578125" style="484" customWidth="1"/>
    <col min="15878" max="15878" width="58.28515625" style="484" customWidth="1"/>
    <col min="15879" max="15879" width="30.42578125" style="484" customWidth="1"/>
    <col min="15880" max="15880" width="27.28515625" style="484" customWidth="1"/>
    <col min="15881" max="15881" width="30.7109375" style="484" customWidth="1"/>
    <col min="15882" max="15882" width="24.7109375" style="484" customWidth="1"/>
    <col min="15883" max="15883" width="27.28515625" style="484" customWidth="1"/>
    <col min="15884" max="15884" width="32" style="484" customWidth="1"/>
    <col min="15885" max="15885" width="25.5703125" style="484" customWidth="1"/>
    <col min="15886" max="15886" width="27.28515625" style="484" customWidth="1"/>
    <col min="15887" max="15887" width="31.42578125" style="484" customWidth="1"/>
    <col min="15888" max="15888" width="30.5703125" style="484" customWidth="1"/>
    <col min="15889" max="15889" width="27.28515625" style="484" customWidth="1"/>
    <col min="15890" max="15890" width="32.5703125" style="484" customWidth="1"/>
    <col min="15891" max="15891" width="30.42578125" style="484" customWidth="1"/>
    <col min="15892" max="15892" width="24.28515625" style="484" customWidth="1"/>
    <col min="15893" max="15893" width="28" style="484" customWidth="1"/>
    <col min="15894" max="15894" width="19.42578125" style="484" customWidth="1"/>
    <col min="15895" max="16131" width="9.28515625" style="484"/>
    <col min="16132" max="16132" width="14.5703125" style="484" customWidth="1"/>
    <col min="16133" max="16133" width="14.42578125" style="484" customWidth="1"/>
    <col min="16134" max="16134" width="58.28515625" style="484" customWidth="1"/>
    <col min="16135" max="16135" width="30.42578125" style="484" customWidth="1"/>
    <col min="16136" max="16136" width="27.28515625" style="484" customWidth="1"/>
    <col min="16137" max="16137" width="30.7109375" style="484" customWidth="1"/>
    <col min="16138" max="16138" width="24.7109375" style="484" customWidth="1"/>
    <col min="16139" max="16139" width="27.28515625" style="484" customWidth="1"/>
    <col min="16140" max="16140" width="32" style="484" customWidth="1"/>
    <col min="16141" max="16141" width="25.5703125" style="484" customWidth="1"/>
    <col min="16142" max="16142" width="27.28515625" style="484" customWidth="1"/>
    <col min="16143" max="16143" width="31.42578125" style="484" customWidth="1"/>
    <col min="16144" max="16144" width="30.5703125" style="484" customWidth="1"/>
    <col min="16145" max="16145" width="27.28515625" style="484" customWidth="1"/>
    <col min="16146" max="16146" width="32.5703125" style="484" customWidth="1"/>
    <col min="16147" max="16147" width="30.42578125" style="484" customWidth="1"/>
    <col min="16148" max="16148" width="24.28515625" style="484" customWidth="1"/>
    <col min="16149" max="16149" width="28" style="484" customWidth="1"/>
    <col min="16150" max="16150" width="19.42578125" style="484" customWidth="1"/>
    <col min="16151" max="16384" width="9.28515625" style="484"/>
  </cols>
  <sheetData>
    <row r="1" spans="2:21" s="113" customFormat="1">
      <c r="B1" s="667" t="s">
        <v>707</v>
      </c>
      <c r="C1" s="667"/>
      <c r="D1" s="667"/>
      <c r="E1" s="667"/>
      <c r="F1" s="667"/>
      <c r="G1" s="667"/>
      <c r="H1" s="667"/>
      <c r="I1" s="667"/>
      <c r="J1" s="667"/>
      <c r="K1" s="667"/>
      <c r="L1" s="667"/>
      <c r="M1" s="667"/>
      <c r="N1" s="667"/>
      <c r="O1" s="667"/>
      <c r="P1" s="667"/>
      <c r="Q1" s="667"/>
      <c r="R1" s="667"/>
      <c r="S1" s="667"/>
      <c r="T1" s="667"/>
      <c r="U1" s="667"/>
    </row>
    <row r="2" spans="2:21" s="113" customFormat="1">
      <c r="B2" s="667" t="s">
        <v>949</v>
      </c>
      <c r="C2" s="667"/>
      <c r="D2" s="667"/>
      <c r="E2" s="667"/>
      <c r="F2" s="667"/>
      <c r="G2" s="667"/>
      <c r="H2" s="667"/>
      <c r="I2" s="667"/>
      <c r="J2" s="667"/>
      <c r="K2" s="667"/>
      <c r="L2" s="667"/>
      <c r="M2" s="667"/>
      <c r="N2" s="667"/>
      <c r="O2" s="667"/>
      <c r="P2" s="667"/>
      <c r="Q2" s="667"/>
      <c r="R2" s="667"/>
      <c r="S2" s="667"/>
      <c r="T2" s="667"/>
      <c r="U2" s="667"/>
    </row>
    <row r="3" spans="2:21" s="113" customFormat="1" ht="15">
      <c r="B3" s="483"/>
      <c r="D3" s="483"/>
      <c r="E3" s="90"/>
      <c r="F3" s="483"/>
      <c r="G3" s="483"/>
      <c r="H3" s="41" t="s">
        <v>655</v>
      </c>
    </row>
    <row r="4" spans="2:21" ht="15">
      <c r="U4" s="487" t="s">
        <v>4</v>
      </c>
    </row>
    <row r="5" spans="2:21" s="488" customFormat="1" ht="12.75" customHeight="1">
      <c r="B5" s="668" t="s">
        <v>360</v>
      </c>
      <c r="C5" s="672" t="s">
        <v>123</v>
      </c>
      <c r="D5" s="675" t="s">
        <v>124</v>
      </c>
      <c r="E5" s="676"/>
      <c r="F5" s="676"/>
      <c r="G5" s="676"/>
      <c r="H5" s="676"/>
      <c r="I5" s="676"/>
      <c r="J5" s="676"/>
      <c r="K5" s="676"/>
      <c r="L5" s="676"/>
      <c r="M5" s="676"/>
      <c r="N5" s="676"/>
      <c r="O5" s="676"/>
      <c r="P5" s="676"/>
      <c r="Q5" s="676"/>
      <c r="R5" s="676"/>
      <c r="S5" s="677"/>
      <c r="T5" s="678" t="s">
        <v>345</v>
      </c>
      <c r="U5" s="668" t="s">
        <v>125</v>
      </c>
    </row>
    <row r="6" spans="2:21" s="488" customFormat="1" ht="12.75" customHeight="1">
      <c r="B6" s="669"/>
      <c r="C6" s="673"/>
      <c r="D6" s="682" t="s">
        <v>126</v>
      </c>
      <c r="E6" s="682"/>
      <c r="F6" s="682"/>
      <c r="G6" s="682"/>
      <c r="H6" s="682" t="s">
        <v>1104</v>
      </c>
      <c r="I6" s="682"/>
      <c r="J6" s="682"/>
      <c r="K6" s="682" t="s">
        <v>1060</v>
      </c>
      <c r="L6" s="682"/>
      <c r="M6" s="682"/>
      <c r="N6" s="682" t="s">
        <v>1061</v>
      </c>
      <c r="O6" s="682"/>
      <c r="P6" s="682"/>
      <c r="Q6" s="682" t="s">
        <v>344</v>
      </c>
      <c r="R6" s="682"/>
      <c r="S6" s="682"/>
      <c r="T6" s="679"/>
      <c r="U6" s="669"/>
    </row>
    <row r="7" spans="2:21" s="491" customFormat="1" ht="75">
      <c r="B7" s="670"/>
      <c r="C7" s="673"/>
      <c r="D7" s="489" t="s">
        <v>127</v>
      </c>
      <c r="E7" s="490" t="s">
        <v>1062</v>
      </c>
      <c r="F7" s="489" t="s">
        <v>347</v>
      </c>
      <c r="G7" s="489" t="s">
        <v>346</v>
      </c>
      <c r="H7" s="490" t="s">
        <v>1062</v>
      </c>
      <c r="I7" s="489" t="s">
        <v>347</v>
      </c>
      <c r="J7" s="489" t="s">
        <v>346</v>
      </c>
      <c r="K7" s="489" t="s">
        <v>1062</v>
      </c>
      <c r="L7" s="489" t="s">
        <v>347</v>
      </c>
      <c r="M7" s="489" t="s">
        <v>346</v>
      </c>
      <c r="N7" s="489" t="s">
        <v>9</v>
      </c>
      <c r="O7" s="489" t="s">
        <v>9</v>
      </c>
      <c r="P7" s="489" t="s">
        <v>9</v>
      </c>
      <c r="Q7" s="489" t="s">
        <v>1062</v>
      </c>
      <c r="R7" s="489" t="s">
        <v>347</v>
      </c>
      <c r="S7" s="489" t="s">
        <v>346</v>
      </c>
      <c r="T7" s="680"/>
      <c r="U7" s="669"/>
    </row>
    <row r="8" spans="2:21" s="491" customFormat="1" ht="30">
      <c r="B8" s="671"/>
      <c r="C8" s="674"/>
      <c r="D8" s="489"/>
      <c r="E8" s="490" t="s">
        <v>32</v>
      </c>
      <c r="F8" s="489" t="s">
        <v>33</v>
      </c>
      <c r="G8" s="489" t="s">
        <v>1063</v>
      </c>
      <c r="H8" s="490" t="s">
        <v>118</v>
      </c>
      <c r="I8" s="489" t="s">
        <v>128</v>
      </c>
      <c r="J8" s="489" t="s">
        <v>1064</v>
      </c>
      <c r="K8" s="489" t="s">
        <v>129</v>
      </c>
      <c r="L8" s="489" t="s">
        <v>130</v>
      </c>
      <c r="M8" s="489" t="s">
        <v>1065</v>
      </c>
      <c r="N8" s="489"/>
      <c r="O8" s="489"/>
      <c r="P8" s="489"/>
      <c r="Q8" s="489" t="s">
        <v>1066</v>
      </c>
      <c r="R8" s="489" t="s">
        <v>1067</v>
      </c>
      <c r="S8" s="489" t="s">
        <v>1068</v>
      </c>
      <c r="T8" s="489" t="s">
        <v>1069</v>
      </c>
      <c r="U8" s="681"/>
    </row>
    <row r="9" spans="2:21" s="500" customFormat="1" ht="15">
      <c r="B9" s="492">
        <v>1</v>
      </c>
      <c r="C9" s="493" t="s">
        <v>131</v>
      </c>
      <c r="D9" s="494"/>
      <c r="E9" s="495">
        <f>E13</f>
        <v>0</v>
      </c>
      <c r="F9" s="496">
        <f>F13</f>
        <v>504.67147956100001</v>
      </c>
      <c r="G9" s="496">
        <f t="shared" ref="G9:M9" si="0">G13</f>
        <v>504.67147956100001</v>
      </c>
      <c r="H9" s="495">
        <f t="shared" si="0"/>
        <v>0</v>
      </c>
      <c r="I9" s="496">
        <f t="shared" si="0"/>
        <v>504.67147956100001</v>
      </c>
      <c r="J9" s="496">
        <f t="shared" si="0"/>
        <v>504.67147956100001</v>
      </c>
      <c r="K9" s="496">
        <f t="shared" si="0"/>
        <v>0</v>
      </c>
      <c r="L9" s="496">
        <f t="shared" si="0"/>
        <v>0</v>
      </c>
      <c r="M9" s="496">
        <f t="shared" si="0"/>
        <v>0</v>
      </c>
      <c r="N9" s="497"/>
      <c r="O9" s="497"/>
      <c r="P9" s="497"/>
      <c r="Q9" s="498"/>
      <c r="R9" s="498">
        <f>I9+L9</f>
        <v>504.67147956100001</v>
      </c>
      <c r="S9" s="498">
        <f>Q9+R9</f>
        <v>504.67147956100001</v>
      </c>
      <c r="T9" s="498">
        <f>S9-G9</f>
        <v>0</v>
      </c>
      <c r="U9" s="499"/>
    </row>
    <row r="10" spans="2:21" ht="15">
      <c r="B10" s="501">
        <v>1.1000000000000001</v>
      </c>
      <c r="C10" s="502" t="s">
        <v>132</v>
      </c>
      <c r="D10" s="503"/>
      <c r="E10" s="504"/>
      <c r="F10" s="113">
        <v>492.0343656</v>
      </c>
      <c r="G10" s="496">
        <f>E10+F10</f>
        <v>492.0343656</v>
      </c>
      <c r="H10" s="504"/>
      <c r="I10" s="101">
        <v>492.0343656</v>
      </c>
      <c r="J10" s="496">
        <f>H10+I10</f>
        <v>492.0343656</v>
      </c>
      <c r="K10" s="505"/>
      <c r="L10" s="505"/>
      <c r="M10" s="496">
        <f>K10+L10</f>
        <v>0</v>
      </c>
      <c r="N10" s="505"/>
      <c r="O10" s="505"/>
      <c r="P10" s="505"/>
      <c r="Q10" s="498"/>
      <c r="R10" s="498">
        <f t="shared" ref="R10:R73" si="1">I10+L10</f>
        <v>492.0343656</v>
      </c>
      <c r="S10" s="498">
        <f t="shared" ref="S10:S73" si="2">Q10+R10</f>
        <v>492.0343656</v>
      </c>
      <c r="T10" s="498">
        <f t="shared" ref="T10:T73" si="3">S10-G10</f>
        <v>0</v>
      </c>
      <c r="U10" s="502"/>
    </row>
    <row r="11" spans="2:21" ht="15">
      <c r="B11" s="501">
        <v>1.2</v>
      </c>
      <c r="C11" s="506" t="s">
        <v>1043</v>
      </c>
      <c r="D11" s="503"/>
      <c r="E11" s="504"/>
      <c r="F11" s="113">
        <v>0</v>
      </c>
      <c r="G11" s="496">
        <f>E11+F11</f>
        <v>0</v>
      </c>
      <c r="H11" s="504"/>
      <c r="I11" s="101">
        <v>0</v>
      </c>
      <c r="J11" s="496">
        <f>H11+I11</f>
        <v>0</v>
      </c>
      <c r="K11" s="505"/>
      <c r="L11" s="505"/>
      <c r="M11" s="496">
        <f>K11+L11</f>
        <v>0</v>
      </c>
      <c r="N11" s="505"/>
      <c r="O11" s="505"/>
      <c r="P11" s="505"/>
      <c r="Q11" s="498"/>
      <c r="R11" s="498">
        <f t="shared" si="1"/>
        <v>0</v>
      </c>
      <c r="S11" s="498">
        <f t="shared" si="2"/>
        <v>0</v>
      </c>
      <c r="T11" s="498">
        <f t="shared" si="3"/>
        <v>0</v>
      </c>
      <c r="U11" s="502"/>
    </row>
    <row r="12" spans="2:21" ht="15">
      <c r="B12" s="501">
        <v>1.3</v>
      </c>
      <c r="C12" s="506" t="s">
        <v>133</v>
      </c>
      <c r="D12" s="503"/>
      <c r="E12" s="504"/>
      <c r="F12" s="113">
        <v>12.637113961000001</v>
      </c>
      <c r="G12" s="496">
        <f>E12+F12</f>
        <v>12.637113961000001</v>
      </c>
      <c r="H12" s="504"/>
      <c r="I12" s="101">
        <v>12.637113961000001</v>
      </c>
      <c r="J12" s="496">
        <f>H12+I12</f>
        <v>12.637113961000001</v>
      </c>
      <c r="K12" s="505"/>
      <c r="L12" s="505"/>
      <c r="M12" s="496">
        <f>K12+L12</f>
        <v>0</v>
      </c>
      <c r="N12" s="505"/>
      <c r="O12" s="505"/>
      <c r="P12" s="505"/>
      <c r="Q12" s="498"/>
      <c r="R12" s="498">
        <f t="shared" si="1"/>
        <v>12.637113961000001</v>
      </c>
      <c r="S12" s="498">
        <f t="shared" si="2"/>
        <v>12.637113961000001</v>
      </c>
      <c r="T12" s="498">
        <f t="shared" si="3"/>
        <v>0</v>
      </c>
      <c r="U12" s="502"/>
    </row>
    <row r="13" spans="2:21" s="500" customFormat="1" ht="15">
      <c r="B13" s="507"/>
      <c r="C13" s="508" t="s">
        <v>134</v>
      </c>
      <c r="D13" s="509"/>
      <c r="E13" s="495">
        <f>SUM(E10:E12)</f>
        <v>0</v>
      </c>
      <c r="F13" s="496">
        <f>SUM(F10:F12)</f>
        <v>504.67147956100001</v>
      </c>
      <c r="G13" s="496">
        <f>E13+F13</f>
        <v>504.67147956100001</v>
      </c>
      <c r="H13" s="495">
        <f>SUM(H10:H12)</f>
        <v>0</v>
      </c>
      <c r="I13" s="496">
        <f>SUM(I10:I12)</f>
        <v>504.67147956100001</v>
      </c>
      <c r="J13" s="496">
        <f>H13+I13</f>
        <v>504.67147956100001</v>
      </c>
      <c r="K13" s="496">
        <f>SUM(K10:K12)</f>
        <v>0</v>
      </c>
      <c r="L13" s="496">
        <f>SUM(L10:L12)</f>
        <v>0</v>
      </c>
      <c r="M13" s="496">
        <f>K13+L13</f>
        <v>0</v>
      </c>
      <c r="N13" s="497"/>
      <c r="O13" s="497"/>
      <c r="P13" s="497"/>
      <c r="Q13" s="498"/>
      <c r="R13" s="498">
        <f t="shared" si="1"/>
        <v>504.67147956100001</v>
      </c>
      <c r="S13" s="498">
        <f t="shared" si="2"/>
        <v>504.67147956100001</v>
      </c>
      <c r="T13" s="498">
        <f t="shared" si="3"/>
        <v>0</v>
      </c>
      <c r="U13" s="499"/>
    </row>
    <row r="14" spans="2:21" s="500" customFormat="1" ht="15">
      <c r="B14" s="507"/>
      <c r="C14" s="508"/>
      <c r="D14" s="509"/>
      <c r="E14" s="510"/>
      <c r="F14" s="497"/>
      <c r="G14" s="497"/>
      <c r="H14" s="510"/>
      <c r="I14" s="505"/>
      <c r="J14" s="497"/>
      <c r="K14" s="497"/>
      <c r="L14" s="497"/>
      <c r="M14" s="497"/>
      <c r="N14" s="497"/>
      <c r="O14" s="497"/>
      <c r="P14" s="497"/>
      <c r="Q14" s="498"/>
      <c r="R14" s="498">
        <f t="shared" si="1"/>
        <v>0</v>
      </c>
      <c r="S14" s="498">
        <f t="shared" si="2"/>
        <v>0</v>
      </c>
      <c r="T14" s="498">
        <f t="shared" si="3"/>
        <v>0</v>
      </c>
      <c r="U14" s="499"/>
    </row>
    <row r="15" spans="2:21" s="500" customFormat="1" ht="15">
      <c r="B15" s="511">
        <v>2</v>
      </c>
      <c r="C15" s="508" t="s">
        <v>1044</v>
      </c>
      <c r="D15" s="509"/>
      <c r="E15" s="495">
        <f>E16+E26+E45+E81+E103+E108</f>
        <v>0</v>
      </c>
      <c r="F15" s="496">
        <f>F16+F26+F45+F81+F103+F108</f>
        <v>3409.7710528686625</v>
      </c>
      <c r="G15" s="496">
        <f>G16+G26+G45+G81+G103+G108</f>
        <v>3409.7710528686625</v>
      </c>
      <c r="H15" s="495">
        <f t="shared" ref="H15:M15" si="4">H16+H26+H45+H81+H103+H108</f>
        <v>0</v>
      </c>
      <c r="I15" s="496">
        <f t="shared" si="4"/>
        <v>3253.8060083450014</v>
      </c>
      <c r="J15" s="496">
        <f t="shared" si="4"/>
        <v>3253.8060083450014</v>
      </c>
      <c r="K15" s="496">
        <f t="shared" si="4"/>
        <v>0</v>
      </c>
      <c r="L15" s="496">
        <f t="shared" si="4"/>
        <v>0</v>
      </c>
      <c r="M15" s="496">
        <f t="shared" si="4"/>
        <v>0</v>
      </c>
      <c r="N15" s="497"/>
      <c r="O15" s="497"/>
      <c r="P15" s="497"/>
      <c r="Q15" s="498"/>
      <c r="R15" s="498">
        <f t="shared" si="1"/>
        <v>3253.8060083450014</v>
      </c>
      <c r="S15" s="498">
        <f t="shared" si="2"/>
        <v>3253.8060083450014</v>
      </c>
      <c r="T15" s="498">
        <f t="shared" si="3"/>
        <v>-155.96504452366116</v>
      </c>
      <c r="U15" s="499"/>
    </row>
    <row r="16" spans="2:21" s="500" customFormat="1" ht="15">
      <c r="B16" s="511">
        <v>2.1</v>
      </c>
      <c r="C16" s="508" t="s">
        <v>135</v>
      </c>
      <c r="D16" s="509" t="s">
        <v>1058</v>
      </c>
      <c r="E16" s="495">
        <f>SUM(E17:E24)</f>
        <v>0</v>
      </c>
      <c r="F16" s="496">
        <f>SUM(F17:F24)</f>
        <v>1818.7264865069183</v>
      </c>
      <c r="G16" s="496">
        <f t="shared" ref="G16:M16" si="5">SUM(G17:G24)</f>
        <v>1818.7264865069183</v>
      </c>
      <c r="H16" s="495">
        <f t="shared" si="5"/>
        <v>0</v>
      </c>
      <c r="I16" s="496">
        <f t="shared" si="5"/>
        <v>1713.0825078240014</v>
      </c>
      <c r="J16" s="496">
        <f t="shared" si="5"/>
        <v>1713.0825078240014</v>
      </c>
      <c r="K16" s="496">
        <f t="shared" si="5"/>
        <v>0</v>
      </c>
      <c r="L16" s="496">
        <f t="shared" si="5"/>
        <v>0</v>
      </c>
      <c r="M16" s="496">
        <f t="shared" si="5"/>
        <v>0</v>
      </c>
      <c r="N16" s="497"/>
      <c r="O16" s="497"/>
      <c r="P16" s="497"/>
      <c r="Q16" s="498"/>
      <c r="R16" s="498">
        <f t="shared" si="1"/>
        <v>1713.0825078240014</v>
      </c>
      <c r="S16" s="498">
        <f t="shared" si="2"/>
        <v>1713.0825078240014</v>
      </c>
      <c r="T16" s="498">
        <f t="shared" si="3"/>
        <v>-105.6439786829169</v>
      </c>
      <c r="U16" s="499"/>
    </row>
    <row r="17" spans="2:22">
      <c r="B17" s="430" t="s">
        <v>51</v>
      </c>
      <c r="C17" s="512" t="s">
        <v>136</v>
      </c>
      <c r="D17" s="503"/>
      <c r="E17" s="504"/>
      <c r="F17" s="113">
        <v>1436.6695856226656</v>
      </c>
      <c r="G17" s="505">
        <f>E17+F17</f>
        <v>1436.6695856226656</v>
      </c>
      <c r="H17" s="504"/>
      <c r="I17" s="101">
        <v>1433.9016554660016</v>
      </c>
      <c r="J17" s="505">
        <f>H17+I17</f>
        <v>1433.9016554660016</v>
      </c>
      <c r="K17" s="505"/>
      <c r="L17" s="505"/>
      <c r="M17" s="505"/>
      <c r="N17" s="505"/>
      <c r="O17" s="505"/>
      <c r="P17" s="505"/>
      <c r="Q17" s="498"/>
      <c r="R17" s="498">
        <f t="shared" si="1"/>
        <v>1433.9016554660016</v>
      </c>
      <c r="S17" s="498">
        <f t="shared" si="2"/>
        <v>1433.9016554660016</v>
      </c>
      <c r="T17" s="498">
        <f t="shared" si="3"/>
        <v>-2.7679301566640788</v>
      </c>
      <c r="U17" s="502"/>
    </row>
    <row r="18" spans="2:22">
      <c r="B18" s="430" t="s">
        <v>52</v>
      </c>
      <c r="C18" s="512" t="s">
        <v>1045</v>
      </c>
      <c r="D18" s="503"/>
      <c r="E18" s="504"/>
      <c r="F18" s="113">
        <v>319.6896750431988</v>
      </c>
      <c r="G18" s="505">
        <f t="shared" ref="G18:G19" si="6">E18+F18</f>
        <v>319.6896750431988</v>
      </c>
      <c r="H18" s="504"/>
      <c r="I18" s="101">
        <v>217.02797468000003</v>
      </c>
      <c r="J18" s="505">
        <f t="shared" ref="J18:J19" si="7">H18+I18</f>
        <v>217.02797468000003</v>
      </c>
      <c r="K18" s="505"/>
      <c r="L18" s="505"/>
      <c r="M18" s="505"/>
      <c r="N18" s="505"/>
      <c r="O18" s="505"/>
      <c r="P18" s="505"/>
      <c r="Q18" s="498"/>
      <c r="R18" s="498">
        <f t="shared" si="1"/>
        <v>217.02797468000003</v>
      </c>
      <c r="S18" s="498">
        <f t="shared" si="2"/>
        <v>217.02797468000003</v>
      </c>
      <c r="T18" s="498">
        <f t="shared" si="3"/>
        <v>-102.66170036319878</v>
      </c>
      <c r="U18" s="502"/>
    </row>
    <row r="19" spans="2:22">
      <c r="B19" s="430" t="s">
        <v>53</v>
      </c>
      <c r="C19" s="512" t="s">
        <v>137</v>
      </c>
      <c r="D19" s="503"/>
      <c r="E19" s="504"/>
      <c r="F19" s="113">
        <v>62.367225841053774</v>
      </c>
      <c r="G19" s="505">
        <f t="shared" si="6"/>
        <v>62.367225841053774</v>
      </c>
      <c r="H19" s="504"/>
      <c r="I19" s="101">
        <v>62.152877677999975</v>
      </c>
      <c r="J19" s="505">
        <f t="shared" si="7"/>
        <v>62.152877677999975</v>
      </c>
      <c r="K19" s="505"/>
      <c r="L19" s="505"/>
      <c r="M19" s="505"/>
      <c r="N19" s="505"/>
      <c r="O19" s="505"/>
      <c r="P19" s="505"/>
      <c r="Q19" s="498"/>
      <c r="R19" s="498">
        <f t="shared" si="1"/>
        <v>62.152877677999975</v>
      </c>
      <c r="S19" s="498">
        <f t="shared" si="2"/>
        <v>62.152877677999975</v>
      </c>
      <c r="T19" s="498">
        <f t="shared" si="3"/>
        <v>-0.21434816305379911</v>
      </c>
      <c r="U19" s="502"/>
    </row>
    <row r="20" spans="2:22" ht="15">
      <c r="B20" s="430" t="s">
        <v>138</v>
      </c>
      <c r="C20" s="512" t="s">
        <v>139</v>
      </c>
      <c r="D20" s="502"/>
      <c r="E20" s="504"/>
      <c r="F20" s="497"/>
      <c r="G20" s="505"/>
      <c r="H20" s="504"/>
      <c r="I20" s="101"/>
      <c r="J20" s="505"/>
      <c r="K20" s="505"/>
      <c r="L20" s="505"/>
      <c r="M20" s="505"/>
      <c r="N20" s="505"/>
      <c r="O20" s="505"/>
      <c r="P20" s="505"/>
      <c r="Q20" s="498"/>
      <c r="R20" s="498">
        <f t="shared" si="1"/>
        <v>0</v>
      </c>
      <c r="S20" s="498">
        <f t="shared" si="2"/>
        <v>0</v>
      </c>
      <c r="T20" s="498">
        <f t="shared" si="3"/>
        <v>0</v>
      </c>
      <c r="U20" s="502"/>
    </row>
    <row r="21" spans="2:22" ht="15">
      <c r="B21" s="430" t="s">
        <v>140</v>
      </c>
      <c r="C21" s="512" t="s">
        <v>141</v>
      </c>
      <c r="D21" s="503"/>
      <c r="E21" s="504"/>
      <c r="F21" s="497"/>
      <c r="G21" s="505"/>
      <c r="H21" s="504"/>
      <c r="I21" s="101"/>
      <c r="J21" s="505"/>
      <c r="K21" s="505"/>
      <c r="L21" s="505"/>
      <c r="M21" s="505"/>
      <c r="N21" s="505"/>
      <c r="O21" s="505"/>
      <c r="P21" s="505"/>
      <c r="Q21" s="498"/>
      <c r="R21" s="498">
        <f t="shared" si="1"/>
        <v>0</v>
      </c>
      <c r="S21" s="498">
        <f t="shared" si="2"/>
        <v>0</v>
      </c>
      <c r="T21" s="498">
        <f t="shared" si="3"/>
        <v>0</v>
      </c>
      <c r="U21" s="502"/>
    </row>
    <row r="22" spans="2:22" ht="15">
      <c r="B22" s="430" t="s">
        <v>142</v>
      </c>
      <c r="C22" s="512" t="s">
        <v>143</v>
      </c>
      <c r="D22" s="503"/>
      <c r="E22" s="504"/>
      <c r="F22" s="497"/>
      <c r="G22" s="505"/>
      <c r="H22" s="504"/>
      <c r="I22" s="101"/>
      <c r="J22" s="505"/>
      <c r="K22" s="505"/>
      <c r="L22" s="505"/>
      <c r="M22" s="505"/>
      <c r="N22" s="505"/>
      <c r="O22" s="505"/>
      <c r="P22" s="505"/>
      <c r="Q22" s="498"/>
      <c r="R22" s="498">
        <f t="shared" si="1"/>
        <v>0</v>
      </c>
      <c r="S22" s="498">
        <f t="shared" si="2"/>
        <v>0</v>
      </c>
      <c r="T22" s="498">
        <f t="shared" si="3"/>
        <v>0</v>
      </c>
      <c r="U22" s="502"/>
    </row>
    <row r="23" spans="2:22" ht="15">
      <c r="B23" s="430" t="s">
        <v>144</v>
      </c>
      <c r="C23" s="512" t="s">
        <v>145</v>
      </c>
      <c r="D23" s="503"/>
      <c r="E23" s="504"/>
      <c r="F23" s="497"/>
      <c r="G23" s="505"/>
      <c r="H23" s="504"/>
      <c r="I23" s="101"/>
      <c r="J23" s="505"/>
      <c r="K23" s="505"/>
      <c r="L23" s="505"/>
      <c r="M23" s="505"/>
      <c r="N23" s="505"/>
      <c r="O23" s="505"/>
      <c r="P23" s="505"/>
      <c r="Q23" s="498"/>
      <c r="R23" s="498">
        <f t="shared" si="1"/>
        <v>0</v>
      </c>
      <c r="S23" s="498">
        <f t="shared" si="2"/>
        <v>0</v>
      </c>
      <c r="T23" s="498">
        <f t="shared" si="3"/>
        <v>0</v>
      </c>
      <c r="U23" s="502"/>
    </row>
    <row r="24" spans="2:22" ht="15">
      <c r="B24" s="430" t="s">
        <v>146</v>
      </c>
      <c r="C24" s="512" t="s">
        <v>147</v>
      </c>
      <c r="D24" s="503"/>
      <c r="E24" s="504"/>
      <c r="F24" s="497"/>
      <c r="G24" s="505"/>
      <c r="H24" s="504"/>
      <c r="I24" s="101"/>
      <c r="J24" s="505"/>
      <c r="K24" s="505"/>
      <c r="L24" s="505"/>
      <c r="M24" s="505"/>
      <c r="N24" s="505"/>
      <c r="O24" s="505"/>
      <c r="P24" s="505"/>
      <c r="Q24" s="498"/>
      <c r="R24" s="498">
        <f t="shared" si="1"/>
        <v>0</v>
      </c>
      <c r="S24" s="498">
        <f t="shared" si="2"/>
        <v>0</v>
      </c>
      <c r="T24" s="498">
        <f t="shared" si="3"/>
        <v>0</v>
      </c>
      <c r="U24" s="502"/>
    </row>
    <row r="25" spans="2:22" ht="15">
      <c r="B25" s="430"/>
      <c r="C25" s="512"/>
      <c r="D25" s="503"/>
      <c r="E25" s="504"/>
      <c r="F25" s="497"/>
      <c r="G25" s="505"/>
      <c r="H25" s="504"/>
      <c r="I25" s="101"/>
      <c r="J25" s="505"/>
      <c r="K25" s="505"/>
      <c r="L25" s="505"/>
      <c r="M25" s="505"/>
      <c r="N25" s="505"/>
      <c r="O25" s="505"/>
      <c r="P25" s="505"/>
      <c r="Q25" s="498"/>
      <c r="R25" s="498">
        <f t="shared" si="1"/>
        <v>0</v>
      </c>
      <c r="S25" s="498">
        <f t="shared" si="2"/>
        <v>0</v>
      </c>
      <c r="T25" s="498">
        <f t="shared" si="3"/>
        <v>0</v>
      </c>
      <c r="U25" s="502"/>
    </row>
    <row r="26" spans="2:22" s="500" customFormat="1" ht="15">
      <c r="B26" s="511">
        <v>2.2000000000000002</v>
      </c>
      <c r="C26" s="508" t="s">
        <v>148</v>
      </c>
      <c r="D26" s="509" t="s">
        <v>1058</v>
      </c>
      <c r="E26" s="513">
        <f>SUM(E27:E43)</f>
        <v>0</v>
      </c>
      <c r="F26" s="514">
        <f>SUM(F27:F43)</f>
        <v>1036.6285964910639</v>
      </c>
      <c r="G26" s="514">
        <f t="shared" ref="G26:M26" si="8">SUM(G27:G43)</f>
        <v>1036.6285964910639</v>
      </c>
      <c r="H26" s="513">
        <f t="shared" si="8"/>
        <v>0</v>
      </c>
      <c r="I26" s="514">
        <f t="shared" si="8"/>
        <v>987.55088623799986</v>
      </c>
      <c r="J26" s="514">
        <f t="shared" si="8"/>
        <v>987.55088623799986</v>
      </c>
      <c r="K26" s="514">
        <f t="shared" si="8"/>
        <v>0</v>
      </c>
      <c r="L26" s="514">
        <f t="shared" si="8"/>
        <v>0</v>
      </c>
      <c r="M26" s="514">
        <f t="shared" si="8"/>
        <v>0</v>
      </c>
      <c r="N26" s="515"/>
      <c r="O26" s="515"/>
      <c r="P26" s="515"/>
      <c r="Q26" s="498"/>
      <c r="R26" s="498">
        <f t="shared" si="1"/>
        <v>987.55088623799986</v>
      </c>
      <c r="S26" s="498">
        <f t="shared" si="2"/>
        <v>987.55088623799986</v>
      </c>
      <c r="T26" s="498">
        <f t="shared" si="3"/>
        <v>-49.077710253064083</v>
      </c>
      <c r="U26" s="499"/>
      <c r="V26" s="516"/>
    </row>
    <row r="27" spans="2:22">
      <c r="B27" s="430" t="s">
        <v>54</v>
      </c>
      <c r="C27" s="512" t="s">
        <v>149</v>
      </c>
      <c r="D27" s="506"/>
      <c r="E27" s="504"/>
      <c r="F27" s="113">
        <v>296.41675399440004</v>
      </c>
      <c r="G27" s="505">
        <f>E27+F27</f>
        <v>296.41675399440004</v>
      </c>
      <c r="H27" s="504"/>
      <c r="I27" s="101">
        <v>291.15624212199992</v>
      </c>
      <c r="J27" s="505">
        <f t="shared" ref="J27:J28" si="9">H27+I27</f>
        <v>291.15624212199992</v>
      </c>
      <c r="K27" s="505"/>
      <c r="L27" s="505"/>
      <c r="M27" s="505"/>
      <c r="N27" s="505"/>
      <c r="O27" s="505"/>
      <c r="P27" s="505"/>
      <c r="Q27" s="498"/>
      <c r="R27" s="498">
        <f t="shared" si="1"/>
        <v>291.15624212199992</v>
      </c>
      <c r="S27" s="498">
        <f t="shared" si="2"/>
        <v>291.15624212199992</v>
      </c>
      <c r="T27" s="498">
        <f t="shared" si="3"/>
        <v>-5.2605118724001159</v>
      </c>
      <c r="U27" s="502"/>
      <c r="V27" s="517"/>
    </row>
    <row r="28" spans="2:22" ht="28.5">
      <c r="B28" s="430" t="s">
        <v>55</v>
      </c>
      <c r="C28" s="512" t="s">
        <v>150</v>
      </c>
      <c r="D28" s="506"/>
      <c r="E28" s="504"/>
      <c r="F28" s="113">
        <v>44.11232467</v>
      </c>
      <c r="G28" s="505">
        <f t="shared" ref="G28:G43" si="10">E28+F28</f>
        <v>44.11232467</v>
      </c>
      <c r="H28" s="504"/>
      <c r="I28" s="101">
        <v>44.11232467</v>
      </c>
      <c r="J28" s="505">
        <f t="shared" si="9"/>
        <v>44.11232467</v>
      </c>
      <c r="K28" s="505"/>
      <c r="L28" s="505"/>
      <c r="M28" s="505"/>
      <c r="N28" s="505"/>
      <c r="O28" s="505"/>
      <c r="P28" s="505"/>
      <c r="Q28" s="498"/>
      <c r="R28" s="498">
        <f t="shared" si="1"/>
        <v>44.11232467</v>
      </c>
      <c r="S28" s="498">
        <f t="shared" si="2"/>
        <v>44.11232467</v>
      </c>
      <c r="T28" s="498">
        <f t="shared" si="3"/>
        <v>0</v>
      </c>
      <c r="U28" s="502"/>
      <c r="V28" s="517"/>
    </row>
    <row r="29" spans="2:22">
      <c r="B29" s="430" t="s">
        <v>56</v>
      </c>
      <c r="C29" s="512" t="s">
        <v>151</v>
      </c>
      <c r="D29" s="503"/>
      <c r="E29" s="504"/>
      <c r="F29" s="113">
        <v>0</v>
      </c>
      <c r="G29" s="505">
        <f t="shared" si="10"/>
        <v>0</v>
      </c>
      <c r="H29" s="504"/>
      <c r="I29" s="101">
        <v>0</v>
      </c>
      <c r="J29" s="505"/>
      <c r="K29" s="505"/>
      <c r="L29" s="505"/>
      <c r="M29" s="505"/>
      <c r="N29" s="505"/>
      <c r="O29" s="505"/>
      <c r="P29" s="505"/>
      <c r="Q29" s="498"/>
      <c r="R29" s="498">
        <f t="shared" si="1"/>
        <v>0</v>
      </c>
      <c r="S29" s="498">
        <f t="shared" si="2"/>
        <v>0</v>
      </c>
      <c r="T29" s="498">
        <f t="shared" si="3"/>
        <v>0</v>
      </c>
      <c r="U29" s="502"/>
    </row>
    <row r="30" spans="2:22">
      <c r="B30" s="430" t="s">
        <v>152</v>
      </c>
      <c r="C30" s="512" t="s">
        <v>153</v>
      </c>
      <c r="D30" s="503"/>
      <c r="E30" s="504"/>
      <c r="F30" s="113">
        <v>0.83178200000000002</v>
      </c>
      <c r="G30" s="505">
        <f t="shared" si="10"/>
        <v>0.83178200000000002</v>
      </c>
      <c r="H30" s="504"/>
      <c r="I30" s="101">
        <v>0.83178200000000002</v>
      </c>
      <c r="J30" s="505">
        <f t="shared" ref="J30:J31" si="11">H30+I30</f>
        <v>0.83178200000000002</v>
      </c>
      <c r="K30" s="505"/>
      <c r="L30" s="505"/>
      <c r="M30" s="505"/>
      <c r="N30" s="505"/>
      <c r="O30" s="505"/>
      <c r="P30" s="505"/>
      <c r="Q30" s="498"/>
      <c r="R30" s="498">
        <f t="shared" si="1"/>
        <v>0.83178200000000002</v>
      </c>
      <c r="S30" s="498">
        <f t="shared" si="2"/>
        <v>0.83178200000000002</v>
      </c>
      <c r="T30" s="498">
        <f t="shared" si="3"/>
        <v>0</v>
      </c>
      <c r="U30" s="502"/>
    </row>
    <row r="31" spans="2:22" ht="28.5">
      <c r="B31" s="430" t="s">
        <v>154</v>
      </c>
      <c r="C31" s="512" t="s">
        <v>155</v>
      </c>
      <c r="D31" s="503"/>
      <c r="E31" s="504"/>
      <c r="F31" s="113">
        <v>42.534903483679997</v>
      </c>
      <c r="G31" s="505">
        <f t="shared" si="10"/>
        <v>42.534903483679997</v>
      </c>
      <c r="H31" s="504"/>
      <c r="I31" s="101">
        <v>42.49903072</v>
      </c>
      <c r="J31" s="505">
        <f t="shared" si="11"/>
        <v>42.49903072</v>
      </c>
      <c r="K31" s="505"/>
      <c r="L31" s="505"/>
      <c r="M31" s="505"/>
      <c r="N31" s="505"/>
      <c r="O31" s="505"/>
      <c r="P31" s="505"/>
      <c r="Q31" s="498"/>
      <c r="R31" s="498">
        <f t="shared" si="1"/>
        <v>42.49903072</v>
      </c>
      <c r="S31" s="498">
        <f t="shared" si="2"/>
        <v>42.49903072</v>
      </c>
      <c r="T31" s="498">
        <f t="shared" si="3"/>
        <v>-3.5872763679996922E-2</v>
      </c>
      <c r="U31" s="502"/>
    </row>
    <row r="32" spans="2:22">
      <c r="B32" s="430" t="s">
        <v>156</v>
      </c>
      <c r="C32" s="512" t="s">
        <v>157</v>
      </c>
      <c r="D32" s="503"/>
      <c r="E32" s="504"/>
      <c r="F32" s="113">
        <v>0</v>
      </c>
      <c r="G32" s="505">
        <f t="shared" si="10"/>
        <v>0</v>
      </c>
      <c r="H32" s="504"/>
      <c r="I32" s="101">
        <v>0</v>
      </c>
      <c r="J32" s="505"/>
      <c r="K32" s="505"/>
      <c r="L32" s="505"/>
      <c r="M32" s="505"/>
      <c r="N32" s="505"/>
      <c r="O32" s="505"/>
      <c r="P32" s="505"/>
      <c r="Q32" s="498"/>
      <c r="R32" s="498">
        <f t="shared" si="1"/>
        <v>0</v>
      </c>
      <c r="S32" s="498">
        <f t="shared" si="2"/>
        <v>0</v>
      </c>
      <c r="T32" s="498">
        <f t="shared" si="3"/>
        <v>0</v>
      </c>
      <c r="U32" s="502"/>
    </row>
    <row r="33" spans="2:21">
      <c r="B33" s="430" t="s">
        <v>158</v>
      </c>
      <c r="C33" s="512" t="s">
        <v>159</v>
      </c>
      <c r="D33" s="518"/>
      <c r="E33" s="504"/>
      <c r="F33" s="113">
        <v>0</v>
      </c>
      <c r="G33" s="505">
        <f t="shared" si="10"/>
        <v>0</v>
      </c>
      <c r="H33" s="504"/>
      <c r="I33" s="101">
        <v>0</v>
      </c>
      <c r="J33" s="505"/>
      <c r="K33" s="505"/>
      <c r="L33" s="505"/>
      <c r="M33" s="505"/>
      <c r="N33" s="505"/>
      <c r="O33" s="505"/>
      <c r="P33" s="505"/>
      <c r="Q33" s="498"/>
      <c r="R33" s="498">
        <f t="shared" si="1"/>
        <v>0</v>
      </c>
      <c r="S33" s="498">
        <f t="shared" si="2"/>
        <v>0</v>
      </c>
      <c r="T33" s="498">
        <f t="shared" si="3"/>
        <v>0</v>
      </c>
      <c r="U33" s="502"/>
    </row>
    <row r="34" spans="2:21" ht="28.5">
      <c r="B34" s="430" t="s">
        <v>160</v>
      </c>
      <c r="C34" s="512" t="s">
        <v>161</v>
      </c>
      <c r="D34" s="503"/>
      <c r="E34" s="504"/>
      <c r="F34" s="113">
        <v>16.282082500000001</v>
      </c>
      <c r="G34" s="505">
        <f t="shared" si="10"/>
        <v>16.282082500000001</v>
      </c>
      <c r="H34" s="504"/>
      <c r="I34" s="101">
        <v>16.282082500000001</v>
      </c>
      <c r="J34" s="505">
        <f t="shared" ref="J34:J40" si="12">H34+I34</f>
        <v>16.282082500000001</v>
      </c>
      <c r="K34" s="505"/>
      <c r="L34" s="505"/>
      <c r="M34" s="505"/>
      <c r="N34" s="505"/>
      <c r="O34" s="505"/>
      <c r="P34" s="505"/>
      <c r="Q34" s="498"/>
      <c r="R34" s="498">
        <f t="shared" si="1"/>
        <v>16.282082500000001</v>
      </c>
      <c r="S34" s="498">
        <f t="shared" si="2"/>
        <v>16.282082500000001</v>
      </c>
      <c r="T34" s="498">
        <f t="shared" si="3"/>
        <v>0</v>
      </c>
      <c r="U34" s="502"/>
    </row>
    <row r="35" spans="2:21">
      <c r="B35" s="430" t="s">
        <v>162</v>
      </c>
      <c r="C35" s="512" t="s">
        <v>163</v>
      </c>
      <c r="D35" s="503"/>
      <c r="E35" s="504"/>
      <c r="F35" s="113">
        <v>221.52314189902367</v>
      </c>
      <c r="G35" s="505">
        <f t="shared" si="10"/>
        <v>221.52314189902367</v>
      </c>
      <c r="H35" s="504"/>
      <c r="I35" s="101">
        <v>218.67939007299995</v>
      </c>
      <c r="J35" s="505">
        <f t="shared" si="12"/>
        <v>218.67939007299995</v>
      </c>
      <c r="K35" s="505"/>
      <c r="L35" s="505"/>
      <c r="M35" s="505"/>
      <c r="N35" s="505"/>
      <c r="O35" s="505"/>
      <c r="P35" s="505"/>
      <c r="Q35" s="498"/>
      <c r="R35" s="498">
        <f t="shared" si="1"/>
        <v>218.67939007299995</v>
      </c>
      <c r="S35" s="498">
        <f t="shared" si="2"/>
        <v>218.67939007299995</v>
      </c>
      <c r="T35" s="498">
        <f t="shared" si="3"/>
        <v>-2.8437518260237198</v>
      </c>
      <c r="U35" s="502"/>
    </row>
    <row r="36" spans="2:21" s="500" customFormat="1" ht="15">
      <c r="B36" s="430" t="s">
        <v>164</v>
      </c>
      <c r="C36" s="506" t="s">
        <v>165</v>
      </c>
      <c r="D36" s="509"/>
      <c r="E36" s="510"/>
      <c r="F36" s="113">
        <v>14.60590564756</v>
      </c>
      <c r="G36" s="505">
        <f t="shared" si="10"/>
        <v>14.60590564756</v>
      </c>
      <c r="H36" s="510"/>
      <c r="I36" s="101">
        <v>11.566737246000001</v>
      </c>
      <c r="J36" s="505">
        <f t="shared" si="12"/>
        <v>11.566737246000001</v>
      </c>
      <c r="K36" s="497"/>
      <c r="L36" s="497"/>
      <c r="M36" s="497"/>
      <c r="N36" s="497"/>
      <c r="O36" s="497"/>
      <c r="P36" s="497"/>
      <c r="Q36" s="498"/>
      <c r="R36" s="498">
        <f t="shared" si="1"/>
        <v>11.566737246000001</v>
      </c>
      <c r="S36" s="498">
        <f t="shared" si="2"/>
        <v>11.566737246000001</v>
      </c>
      <c r="T36" s="498">
        <f t="shared" si="3"/>
        <v>-3.0391684015599996</v>
      </c>
      <c r="U36" s="499"/>
    </row>
    <row r="37" spans="2:21">
      <c r="B37" s="430" t="s">
        <v>166</v>
      </c>
      <c r="C37" s="512" t="s">
        <v>167</v>
      </c>
      <c r="D37" s="503"/>
      <c r="E37" s="504"/>
      <c r="F37" s="113">
        <v>44.034415887999998</v>
      </c>
      <c r="G37" s="505">
        <f t="shared" si="10"/>
        <v>44.034415887999998</v>
      </c>
      <c r="H37" s="504"/>
      <c r="I37" s="101">
        <v>44.034415887999998</v>
      </c>
      <c r="J37" s="505">
        <f t="shared" si="12"/>
        <v>44.034415887999998</v>
      </c>
      <c r="K37" s="505"/>
      <c r="L37" s="505"/>
      <c r="M37" s="505"/>
      <c r="N37" s="505"/>
      <c r="O37" s="505"/>
      <c r="P37" s="505"/>
      <c r="Q37" s="498"/>
      <c r="R37" s="498">
        <f t="shared" si="1"/>
        <v>44.034415887999998</v>
      </c>
      <c r="S37" s="498">
        <f t="shared" si="2"/>
        <v>44.034415887999998</v>
      </c>
      <c r="T37" s="498">
        <f t="shared" si="3"/>
        <v>0</v>
      </c>
      <c r="U37" s="502"/>
    </row>
    <row r="38" spans="2:21">
      <c r="B38" s="430" t="s">
        <v>168</v>
      </c>
      <c r="C38" s="512" t="s">
        <v>169</v>
      </c>
      <c r="D38" s="503"/>
      <c r="E38" s="504"/>
      <c r="F38" s="113">
        <v>230.71153793520023</v>
      </c>
      <c r="G38" s="505">
        <f t="shared" si="10"/>
        <v>230.71153793520023</v>
      </c>
      <c r="H38" s="504"/>
      <c r="I38" s="101">
        <v>195.07780956400001</v>
      </c>
      <c r="J38" s="505">
        <f t="shared" si="12"/>
        <v>195.07780956400001</v>
      </c>
      <c r="K38" s="505"/>
      <c r="L38" s="505"/>
      <c r="M38" s="505"/>
      <c r="N38" s="505"/>
      <c r="O38" s="505"/>
      <c r="P38" s="505"/>
      <c r="Q38" s="498"/>
      <c r="R38" s="498">
        <f t="shared" si="1"/>
        <v>195.07780956400001</v>
      </c>
      <c r="S38" s="498">
        <f t="shared" si="2"/>
        <v>195.07780956400001</v>
      </c>
      <c r="T38" s="498">
        <f t="shared" si="3"/>
        <v>-35.63372837120022</v>
      </c>
      <c r="U38" s="502"/>
    </row>
    <row r="39" spans="2:21">
      <c r="B39" s="430" t="s">
        <v>170</v>
      </c>
      <c r="C39" s="512" t="s">
        <v>1046</v>
      </c>
      <c r="D39" s="503"/>
      <c r="E39" s="504"/>
      <c r="F39" s="113">
        <v>93.174066668199998</v>
      </c>
      <c r="G39" s="505">
        <f t="shared" si="10"/>
        <v>93.174066668199998</v>
      </c>
      <c r="H39" s="504"/>
      <c r="I39" s="101">
        <v>90.983496482000021</v>
      </c>
      <c r="J39" s="505">
        <f t="shared" si="12"/>
        <v>90.983496482000021</v>
      </c>
      <c r="K39" s="505"/>
      <c r="L39" s="505"/>
      <c r="M39" s="505"/>
      <c r="N39" s="505"/>
      <c r="O39" s="505"/>
      <c r="P39" s="505"/>
      <c r="Q39" s="498"/>
      <c r="R39" s="498">
        <f t="shared" si="1"/>
        <v>90.983496482000021</v>
      </c>
      <c r="S39" s="498">
        <f t="shared" si="2"/>
        <v>90.983496482000021</v>
      </c>
      <c r="T39" s="498">
        <f t="shared" si="3"/>
        <v>-2.1905701861999773</v>
      </c>
      <c r="U39" s="502"/>
    </row>
    <row r="40" spans="2:21">
      <c r="B40" s="430" t="s">
        <v>171</v>
      </c>
      <c r="C40" s="512" t="s">
        <v>172</v>
      </c>
      <c r="D40" s="503"/>
      <c r="E40" s="504"/>
      <c r="F40" s="113">
        <v>3.2596319999999999</v>
      </c>
      <c r="G40" s="505">
        <f t="shared" si="10"/>
        <v>3.2596319999999999</v>
      </c>
      <c r="H40" s="504"/>
      <c r="I40" s="101">
        <v>3.2596319999999999</v>
      </c>
      <c r="J40" s="505">
        <f t="shared" si="12"/>
        <v>3.2596319999999999</v>
      </c>
      <c r="K40" s="505"/>
      <c r="L40" s="505"/>
      <c r="M40" s="505"/>
      <c r="N40" s="505"/>
      <c r="O40" s="505"/>
      <c r="P40" s="505"/>
      <c r="Q40" s="498"/>
      <c r="R40" s="498">
        <f t="shared" si="1"/>
        <v>3.2596319999999999</v>
      </c>
      <c r="S40" s="498">
        <f t="shared" si="2"/>
        <v>3.2596319999999999</v>
      </c>
      <c r="T40" s="498">
        <f t="shared" si="3"/>
        <v>0</v>
      </c>
      <c r="U40" s="502"/>
    </row>
    <row r="41" spans="2:21">
      <c r="B41" s="430" t="s">
        <v>173</v>
      </c>
      <c r="C41" s="512" t="s">
        <v>174</v>
      </c>
      <c r="D41" s="503"/>
      <c r="E41" s="504"/>
      <c r="F41" s="113">
        <v>0</v>
      </c>
      <c r="G41" s="505">
        <f t="shared" si="10"/>
        <v>0</v>
      </c>
      <c r="H41" s="504"/>
      <c r="I41" s="101">
        <v>0</v>
      </c>
      <c r="J41" s="505"/>
      <c r="K41" s="505"/>
      <c r="L41" s="505"/>
      <c r="M41" s="505"/>
      <c r="N41" s="505"/>
      <c r="O41" s="505"/>
      <c r="P41" s="505"/>
      <c r="Q41" s="498"/>
      <c r="R41" s="498">
        <f t="shared" si="1"/>
        <v>0</v>
      </c>
      <c r="S41" s="498">
        <f t="shared" si="2"/>
        <v>0</v>
      </c>
      <c r="T41" s="498">
        <f t="shared" si="3"/>
        <v>0</v>
      </c>
      <c r="U41" s="502"/>
    </row>
    <row r="42" spans="2:21">
      <c r="B42" s="430" t="s">
        <v>175</v>
      </c>
      <c r="C42" s="512" t="s">
        <v>176</v>
      </c>
      <c r="D42" s="503"/>
      <c r="E42" s="504"/>
      <c r="F42" s="113">
        <v>29.142049805000003</v>
      </c>
      <c r="G42" s="505">
        <f t="shared" si="10"/>
        <v>29.142049805000003</v>
      </c>
      <c r="H42" s="504"/>
      <c r="I42" s="101">
        <v>29.067942973000001</v>
      </c>
      <c r="J42" s="505">
        <f t="shared" ref="J42" si="13">H42+I42</f>
        <v>29.067942973000001</v>
      </c>
      <c r="K42" s="505"/>
      <c r="L42" s="505"/>
      <c r="M42" s="505"/>
      <c r="N42" s="505"/>
      <c r="O42" s="505"/>
      <c r="P42" s="505"/>
      <c r="Q42" s="498"/>
      <c r="R42" s="498">
        <f t="shared" si="1"/>
        <v>29.067942973000001</v>
      </c>
      <c r="S42" s="498">
        <f t="shared" si="2"/>
        <v>29.067942973000001</v>
      </c>
      <c r="T42" s="498">
        <f t="shared" si="3"/>
        <v>-7.4106832000001788E-2</v>
      </c>
      <c r="U42" s="502"/>
    </row>
    <row r="43" spans="2:21">
      <c r="B43" s="430" t="s">
        <v>177</v>
      </c>
      <c r="C43" s="512" t="s">
        <v>178</v>
      </c>
      <c r="D43" s="519"/>
      <c r="E43" s="504"/>
      <c r="F43" s="113">
        <v>0</v>
      </c>
      <c r="G43" s="505">
        <f t="shared" si="10"/>
        <v>0</v>
      </c>
      <c r="H43" s="504"/>
      <c r="I43" s="101">
        <v>0</v>
      </c>
      <c r="J43" s="505"/>
      <c r="K43" s="505"/>
      <c r="L43" s="505"/>
      <c r="M43" s="505"/>
      <c r="N43" s="505"/>
      <c r="O43" s="505"/>
      <c r="P43" s="505"/>
      <c r="Q43" s="498"/>
      <c r="R43" s="498">
        <f t="shared" si="1"/>
        <v>0</v>
      </c>
      <c r="S43" s="498">
        <f t="shared" si="2"/>
        <v>0</v>
      </c>
      <c r="T43" s="498">
        <f t="shared" si="3"/>
        <v>0</v>
      </c>
      <c r="U43" s="502"/>
    </row>
    <row r="44" spans="2:21" ht="15">
      <c r="B44" s="430"/>
      <c r="C44" s="512"/>
      <c r="D44" s="519"/>
      <c r="E44" s="504"/>
      <c r="F44" s="497"/>
      <c r="G44" s="505"/>
      <c r="H44" s="504"/>
      <c r="I44" s="101"/>
      <c r="J44" s="505"/>
      <c r="K44" s="505"/>
      <c r="L44" s="505"/>
      <c r="M44" s="505"/>
      <c r="N44" s="505"/>
      <c r="O44" s="505"/>
      <c r="P44" s="505"/>
      <c r="Q44" s="498"/>
      <c r="R44" s="498">
        <f t="shared" si="1"/>
        <v>0</v>
      </c>
      <c r="S44" s="498">
        <f t="shared" si="2"/>
        <v>0</v>
      </c>
      <c r="T44" s="498">
        <f t="shared" si="3"/>
        <v>0</v>
      </c>
      <c r="U44" s="502"/>
    </row>
    <row r="45" spans="2:21" s="500" customFormat="1" ht="15">
      <c r="B45" s="511">
        <v>2.2999999999999998</v>
      </c>
      <c r="C45" s="508" t="s">
        <v>179</v>
      </c>
      <c r="D45" s="509" t="s">
        <v>1058</v>
      </c>
      <c r="E45" s="495">
        <f>SUM(E46:E78)</f>
        <v>0</v>
      </c>
      <c r="F45" s="496">
        <f>SUM(F46:F78)</f>
        <v>515.17241825500003</v>
      </c>
      <c r="G45" s="496">
        <f>SUM(G46:G78)</f>
        <v>515.17241825500003</v>
      </c>
      <c r="H45" s="495">
        <f t="shared" ref="H45:M45" si="14">SUM(H46:H78)</f>
        <v>0</v>
      </c>
      <c r="I45" s="496">
        <f t="shared" si="14"/>
        <v>514.10000215900004</v>
      </c>
      <c r="J45" s="496">
        <f t="shared" si="14"/>
        <v>514.10000215900004</v>
      </c>
      <c r="K45" s="496">
        <f t="shared" si="14"/>
        <v>0</v>
      </c>
      <c r="L45" s="496">
        <f t="shared" si="14"/>
        <v>0</v>
      </c>
      <c r="M45" s="496">
        <f t="shared" si="14"/>
        <v>0</v>
      </c>
      <c r="N45" s="497"/>
      <c r="O45" s="497"/>
      <c r="P45" s="497"/>
      <c r="Q45" s="498"/>
      <c r="R45" s="498">
        <f t="shared" si="1"/>
        <v>514.10000215900004</v>
      </c>
      <c r="S45" s="498">
        <f t="shared" si="2"/>
        <v>514.10000215900004</v>
      </c>
      <c r="T45" s="498">
        <f t="shared" si="3"/>
        <v>-1.0724160959999836</v>
      </c>
      <c r="U45" s="499"/>
    </row>
    <row r="46" spans="2:21">
      <c r="B46" s="430" t="s">
        <v>106</v>
      </c>
      <c r="C46" s="512" t="s">
        <v>180</v>
      </c>
      <c r="D46" s="503"/>
      <c r="E46" s="504"/>
      <c r="F46" s="113">
        <v>53.698483618000004</v>
      </c>
      <c r="G46" s="505">
        <f t="shared" ref="G46:G77" si="15">E46+F46</f>
        <v>53.698483618000004</v>
      </c>
      <c r="H46" s="504"/>
      <c r="I46" s="101">
        <v>53.698483618000004</v>
      </c>
      <c r="J46" s="505">
        <f t="shared" ref="J46:J49" si="16">H46+I46</f>
        <v>53.698483618000004</v>
      </c>
      <c r="K46" s="505"/>
      <c r="L46" s="505"/>
      <c r="M46" s="505"/>
      <c r="N46" s="505"/>
      <c r="O46" s="505"/>
      <c r="P46" s="505"/>
      <c r="Q46" s="498"/>
      <c r="R46" s="498">
        <f t="shared" si="1"/>
        <v>53.698483618000004</v>
      </c>
      <c r="S46" s="498">
        <f t="shared" si="2"/>
        <v>53.698483618000004</v>
      </c>
      <c r="T46" s="498">
        <f t="shared" si="3"/>
        <v>0</v>
      </c>
      <c r="U46" s="502"/>
    </row>
    <row r="47" spans="2:21">
      <c r="B47" s="430" t="s">
        <v>107</v>
      </c>
      <c r="C47" s="512" t="s">
        <v>181</v>
      </c>
      <c r="D47" s="503"/>
      <c r="E47" s="504"/>
      <c r="F47" s="113">
        <v>14.325340706999999</v>
      </c>
      <c r="G47" s="505">
        <f t="shared" si="15"/>
        <v>14.325340706999999</v>
      </c>
      <c r="H47" s="504"/>
      <c r="I47" s="101">
        <v>14.325340706999999</v>
      </c>
      <c r="J47" s="505">
        <f t="shared" si="16"/>
        <v>14.325340706999999</v>
      </c>
      <c r="K47" s="505"/>
      <c r="L47" s="505"/>
      <c r="M47" s="505"/>
      <c r="N47" s="505"/>
      <c r="O47" s="505"/>
      <c r="P47" s="505"/>
      <c r="Q47" s="498"/>
      <c r="R47" s="498">
        <f t="shared" si="1"/>
        <v>14.325340706999999</v>
      </c>
      <c r="S47" s="498">
        <f t="shared" si="2"/>
        <v>14.325340706999999</v>
      </c>
      <c r="T47" s="498">
        <f t="shared" si="3"/>
        <v>0</v>
      </c>
      <c r="U47" s="502"/>
    </row>
    <row r="48" spans="2:21">
      <c r="B48" s="430" t="s">
        <v>108</v>
      </c>
      <c r="C48" s="512" t="s">
        <v>182</v>
      </c>
      <c r="D48" s="503"/>
      <c r="E48" s="504"/>
      <c r="F48" s="113">
        <v>14.306768854</v>
      </c>
      <c r="G48" s="505">
        <f t="shared" si="15"/>
        <v>14.306768854</v>
      </c>
      <c r="H48" s="504"/>
      <c r="I48" s="101">
        <v>14.306768854</v>
      </c>
      <c r="J48" s="505">
        <f t="shared" si="16"/>
        <v>14.306768854</v>
      </c>
      <c r="K48" s="505"/>
      <c r="L48" s="505"/>
      <c r="M48" s="505"/>
      <c r="N48" s="505"/>
      <c r="O48" s="505"/>
      <c r="P48" s="505"/>
      <c r="Q48" s="498"/>
      <c r="R48" s="498">
        <f t="shared" si="1"/>
        <v>14.306768854</v>
      </c>
      <c r="S48" s="498">
        <f t="shared" si="2"/>
        <v>14.306768854</v>
      </c>
      <c r="T48" s="498">
        <f t="shared" si="3"/>
        <v>0</v>
      </c>
      <c r="U48" s="502"/>
    </row>
    <row r="49" spans="2:21">
      <c r="B49" s="430" t="s">
        <v>183</v>
      </c>
      <c r="C49" s="512" t="s">
        <v>184</v>
      </c>
      <c r="D49" s="503"/>
      <c r="E49" s="504"/>
      <c r="F49" s="113">
        <v>280.65256153500002</v>
      </c>
      <c r="G49" s="505">
        <f t="shared" si="15"/>
        <v>280.65256153500002</v>
      </c>
      <c r="H49" s="504"/>
      <c r="I49" s="101">
        <v>280.65256153500002</v>
      </c>
      <c r="J49" s="505">
        <f t="shared" si="16"/>
        <v>280.65256153500002</v>
      </c>
      <c r="K49" s="505"/>
      <c r="L49" s="505"/>
      <c r="M49" s="505"/>
      <c r="N49" s="505"/>
      <c r="O49" s="505"/>
      <c r="P49" s="505"/>
      <c r="Q49" s="498"/>
      <c r="R49" s="498">
        <f t="shared" si="1"/>
        <v>280.65256153500002</v>
      </c>
      <c r="S49" s="498">
        <f t="shared" si="2"/>
        <v>280.65256153500002</v>
      </c>
      <c r="T49" s="498">
        <f t="shared" si="3"/>
        <v>0</v>
      </c>
      <c r="U49" s="502"/>
    </row>
    <row r="50" spans="2:21">
      <c r="B50" s="430" t="s">
        <v>185</v>
      </c>
      <c r="C50" s="512" t="s">
        <v>1047</v>
      </c>
      <c r="D50" s="503"/>
      <c r="E50" s="504"/>
      <c r="F50" s="113">
        <v>0</v>
      </c>
      <c r="G50" s="505">
        <f t="shared" si="15"/>
        <v>0</v>
      </c>
      <c r="H50" s="504"/>
      <c r="I50" s="101">
        <v>0</v>
      </c>
      <c r="J50" s="505"/>
      <c r="K50" s="505"/>
      <c r="L50" s="505"/>
      <c r="M50" s="505"/>
      <c r="N50" s="505"/>
      <c r="O50" s="505"/>
      <c r="P50" s="505"/>
      <c r="Q50" s="498"/>
      <c r="R50" s="498">
        <f t="shared" si="1"/>
        <v>0</v>
      </c>
      <c r="S50" s="498">
        <f t="shared" si="2"/>
        <v>0</v>
      </c>
      <c r="T50" s="498">
        <f t="shared" si="3"/>
        <v>0</v>
      </c>
      <c r="U50" s="502"/>
    </row>
    <row r="51" spans="2:21">
      <c r="B51" s="430" t="s">
        <v>186</v>
      </c>
      <c r="C51" s="512" t="s">
        <v>187</v>
      </c>
      <c r="D51" s="503"/>
      <c r="E51" s="504"/>
      <c r="F51" s="113">
        <v>0</v>
      </c>
      <c r="G51" s="505">
        <f t="shared" si="15"/>
        <v>0</v>
      </c>
      <c r="H51" s="504"/>
      <c r="I51" s="101">
        <v>0</v>
      </c>
      <c r="J51" s="505"/>
      <c r="K51" s="505"/>
      <c r="L51" s="505"/>
      <c r="M51" s="505"/>
      <c r="N51" s="505"/>
      <c r="O51" s="505"/>
      <c r="P51" s="505"/>
      <c r="Q51" s="498"/>
      <c r="R51" s="498">
        <f t="shared" si="1"/>
        <v>0</v>
      </c>
      <c r="S51" s="498">
        <f t="shared" si="2"/>
        <v>0</v>
      </c>
      <c r="T51" s="498">
        <f t="shared" si="3"/>
        <v>0</v>
      </c>
      <c r="U51" s="502"/>
    </row>
    <row r="52" spans="2:21">
      <c r="B52" s="430" t="s">
        <v>188</v>
      </c>
      <c r="C52" s="512" t="s">
        <v>189</v>
      </c>
      <c r="D52" s="503"/>
      <c r="E52" s="504"/>
      <c r="F52" s="113">
        <v>0</v>
      </c>
      <c r="G52" s="505">
        <f t="shared" si="15"/>
        <v>0</v>
      </c>
      <c r="H52" s="504"/>
      <c r="I52" s="101">
        <v>0</v>
      </c>
      <c r="J52" s="505"/>
      <c r="K52" s="505"/>
      <c r="L52" s="505"/>
      <c r="M52" s="505"/>
      <c r="N52" s="505"/>
      <c r="O52" s="505"/>
      <c r="P52" s="505"/>
      <c r="Q52" s="498"/>
      <c r="R52" s="498">
        <f t="shared" si="1"/>
        <v>0</v>
      </c>
      <c r="S52" s="498">
        <f t="shared" si="2"/>
        <v>0</v>
      </c>
      <c r="T52" s="498">
        <f t="shared" si="3"/>
        <v>0</v>
      </c>
      <c r="U52" s="502"/>
    </row>
    <row r="53" spans="2:21">
      <c r="B53" s="430" t="s">
        <v>190</v>
      </c>
      <c r="C53" s="512" t="s">
        <v>191</v>
      </c>
      <c r="D53" s="503"/>
      <c r="E53" s="504"/>
      <c r="F53" s="113">
        <v>11.283565566000002</v>
      </c>
      <c r="G53" s="505">
        <f t="shared" si="15"/>
        <v>11.283565566000002</v>
      </c>
      <c r="H53" s="504"/>
      <c r="I53" s="101">
        <v>10.243363470000002</v>
      </c>
      <c r="J53" s="505">
        <f t="shared" ref="J53" si="17">H53+I53</f>
        <v>10.243363470000002</v>
      </c>
      <c r="K53" s="505"/>
      <c r="L53" s="505"/>
      <c r="M53" s="505"/>
      <c r="N53" s="505"/>
      <c r="O53" s="505"/>
      <c r="P53" s="505"/>
      <c r="Q53" s="498"/>
      <c r="R53" s="498">
        <f t="shared" si="1"/>
        <v>10.243363470000002</v>
      </c>
      <c r="S53" s="498">
        <f t="shared" si="2"/>
        <v>10.243363470000002</v>
      </c>
      <c r="T53" s="498">
        <f t="shared" si="3"/>
        <v>-1.0402020959999998</v>
      </c>
      <c r="U53" s="502"/>
    </row>
    <row r="54" spans="2:21">
      <c r="B54" s="430" t="s">
        <v>192</v>
      </c>
      <c r="C54" s="512" t="s">
        <v>193</v>
      </c>
      <c r="D54" s="519"/>
      <c r="E54" s="504"/>
      <c r="F54" s="113">
        <v>0</v>
      </c>
      <c r="G54" s="505">
        <f t="shared" si="15"/>
        <v>0</v>
      </c>
      <c r="H54" s="504"/>
      <c r="I54" s="101">
        <v>0</v>
      </c>
      <c r="J54" s="505"/>
      <c r="K54" s="505"/>
      <c r="L54" s="505"/>
      <c r="M54" s="505"/>
      <c r="N54" s="505"/>
      <c r="O54" s="505"/>
      <c r="P54" s="505"/>
      <c r="Q54" s="498"/>
      <c r="R54" s="498">
        <f t="shared" si="1"/>
        <v>0</v>
      </c>
      <c r="S54" s="498">
        <f t="shared" si="2"/>
        <v>0</v>
      </c>
      <c r="T54" s="498">
        <f t="shared" si="3"/>
        <v>0</v>
      </c>
      <c r="U54" s="502"/>
    </row>
    <row r="55" spans="2:21">
      <c r="B55" s="430" t="s">
        <v>194</v>
      </c>
      <c r="C55" s="512" t="s">
        <v>195</v>
      </c>
      <c r="D55" s="519"/>
      <c r="E55" s="504"/>
      <c r="F55" s="113">
        <v>0</v>
      </c>
      <c r="G55" s="505">
        <f t="shared" si="15"/>
        <v>0</v>
      </c>
      <c r="H55" s="504"/>
      <c r="I55" s="101">
        <v>0</v>
      </c>
      <c r="J55" s="505"/>
      <c r="K55" s="505"/>
      <c r="L55" s="505"/>
      <c r="M55" s="505"/>
      <c r="N55" s="505"/>
      <c r="O55" s="505"/>
      <c r="P55" s="505"/>
      <c r="Q55" s="498"/>
      <c r="R55" s="498">
        <f t="shared" si="1"/>
        <v>0</v>
      </c>
      <c r="S55" s="498">
        <f t="shared" si="2"/>
        <v>0</v>
      </c>
      <c r="T55" s="498">
        <f t="shared" si="3"/>
        <v>0</v>
      </c>
      <c r="U55" s="502"/>
    </row>
    <row r="56" spans="2:21">
      <c r="B56" s="430" t="s">
        <v>196</v>
      </c>
      <c r="C56" s="512" t="s">
        <v>197</v>
      </c>
      <c r="D56" s="519"/>
      <c r="E56" s="504"/>
      <c r="F56" s="113">
        <v>0</v>
      </c>
      <c r="G56" s="505">
        <f t="shared" si="15"/>
        <v>0</v>
      </c>
      <c r="H56" s="504"/>
      <c r="I56" s="101">
        <v>0</v>
      </c>
      <c r="J56" s="505"/>
      <c r="K56" s="505"/>
      <c r="L56" s="505"/>
      <c r="M56" s="505"/>
      <c r="N56" s="505"/>
      <c r="O56" s="505"/>
      <c r="P56" s="505"/>
      <c r="Q56" s="498"/>
      <c r="R56" s="498">
        <f t="shared" si="1"/>
        <v>0</v>
      </c>
      <c r="S56" s="498">
        <f t="shared" si="2"/>
        <v>0</v>
      </c>
      <c r="T56" s="498">
        <f t="shared" si="3"/>
        <v>0</v>
      </c>
      <c r="U56" s="502"/>
    </row>
    <row r="57" spans="2:21">
      <c r="B57" s="430" t="s">
        <v>198</v>
      </c>
      <c r="C57" s="512" t="s">
        <v>199</v>
      </c>
      <c r="D57" s="519"/>
      <c r="E57" s="504"/>
      <c r="F57" s="113">
        <v>0</v>
      </c>
      <c r="G57" s="505">
        <f t="shared" si="15"/>
        <v>0</v>
      </c>
      <c r="H57" s="504"/>
      <c r="I57" s="101">
        <v>0</v>
      </c>
      <c r="J57" s="505"/>
      <c r="K57" s="505"/>
      <c r="L57" s="505"/>
      <c r="M57" s="505"/>
      <c r="N57" s="505"/>
      <c r="O57" s="505"/>
      <c r="P57" s="505"/>
      <c r="Q57" s="498"/>
      <c r="R57" s="498">
        <f t="shared" si="1"/>
        <v>0</v>
      </c>
      <c r="S57" s="498">
        <f t="shared" si="2"/>
        <v>0</v>
      </c>
      <c r="T57" s="498">
        <f t="shared" si="3"/>
        <v>0</v>
      </c>
      <c r="U57" s="502"/>
    </row>
    <row r="58" spans="2:21">
      <c r="B58" s="430" t="s">
        <v>200</v>
      </c>
      <c r="C58" s="512" t="s">
        <v>201</v>
      </c>
      <c r="D58" s="503"/>
      <c r="E58" s="504"/>
      <c r="F58" s="113">
        <v>0</v>
      </c>
      <c r="G58" s="505">
        <f t="shared" si="15"/>
        <v>0</v>
      </c>
      <c r="H58" s="504"/>
      <c r="I58" s="101">
        <v>0</v>
      </c>
      <c r="J58" s="505"/>
      <c r="K58" s="505"/>
      <c r="L58" s="505"/>
      <c r="M58" s="505"/>
      <c r="N58" s="505"/>
      <c r="O58" s="505"/>
      <c r="P58" s="505"/>
      <c r="Q58" s="498"/>
      <c r="R58" s="498">
        <f t="shared" si="1"/>
        <v>0</v>
      </c>
      <c r="S58" s="498">
        <f t="shared" si="2"/>
        <v>0</v>
      </c>
      <c r="T58" s="498">
        <f t="shared" si="3"/>
        <v>0</v>
      </c>
      <c r="U58" s="502"/>
    </row>
    <row r="59" spans="2:21">
      <c r="B59" s="430" t="s">
        <v>202</v>
      </c>
      <c r="C59" s="512" t="s">
        <v>203</v>
      </c>
      <c r="D59" s="519"/>
      <c r="E59" s="504"/>
      <c r="F59" s="113">
        <v>0</v>
      </c>
      <c r="G59" s="505">
        <f t="shared" si="15"/>
        <v>0</v>
      </c>
      <c r="H59" s="504"/>
      <c r="I59" s="101">
        <v>0</v>
      </c>
      <c r="J59" s="505"/>
      <c r="K59" s="505"/>
      <c r="L59" s="505"/>
      <c r="M59" s="505"/>
      <c r="N59" s="505"/>
      <c r="O59" s="505"/>
      <c r="P59" s="505"/>
      <c r="Q59" s="498"/>
      <c r="R59" s="498">
        <f t="shared" si="1"/>
        <v>0</v>
      </c>
      <c r="S59" s="498">
        <f t="shared" si="2"/>
        <v>0</v>
      </c>
      <c r="T59" s="498">
        <f t="shared" si="3"/>
        <v>0</v>
      </c>
      <c r="U59" s="502"/>
    </row>
    <row r="60" spans="2:21">
      <c r="B60" s="430" t="s">
        <v>204</v>
      </c>
      <c r="C60" s="512" t="s">
        <v>205</v>
      </c>
      <c r="D60" s="519"/>
      <c r="E60" s="504"/>
      <c r="F60" s="113">
        <v>0</v>
      </c>
      <c r="G60" s="505">
        <f t="shared" si="15"/>
        <v>0</v>
      </c>
      <c r="H60" s="504"/>
      <c r="I60" s="101">
        <v>0</v>
      </c>
      <c r="J60" s="505"/>
      <c r="K60" s="505"/>
      <c r="L60" s="505"/>
      <c r="M60" s="505"/>
      <c r="N60" s="505"/>
      <c r="O60" s="505"/>
      <c r="P60" s="505"/>
      <c r="Q60" s="498"/>
      <c r="R60" s="498">
        <f t="shared" si="1"/>
        <v>0</v>
      </c>
      <c r="S60" s="498">
        <f t="shared" si="2"/>
        <v>0</v>
      </c>
      <c r="T60" s="498">
        <f t="shared" si="3"/>
        <v>0</v>
      </c>
      <c r="U60" s="502"/>
    </row>
    <row r="61" spans="2:21">
      <c r="B61" s="430" t="s">
        <v>206</v>
      </c>
      <c r="C61" s="512" t="s">
        <v>207</v>
      </c>
      <c r="D61" s="519"/>
      <c r="E61" s="504"/>
      <c r="F61" s="113">
        <v>0</v>
      </c>
      <c r="G61" s="505">
        <f t="shared" si="15"/>
        <v>0</v>
      </c>
      <c r="H61" s="504"/>
      <c r="I61" s="101">
        <v>0</v>
      </c>
      <c r="J61" s="505"/>
      <c r="K61" s="505"/>
      <c r="L61" s="505"/>
      <c r="M61" s="505"/>
      <c r="N61" s="505"/>
      <c r="O61" s="505"/>
      <c r="P61" s="505"/>
      <c r="Q61" s="498"/>
      <c r="R61" s="498">
        <f t="shared" si="1"/>
        <v>0</v>
      </c>
      <c r="S61" s="498">
        <f t="shared" si="2"/>
        <v>0</v>
      </c>
      <c r="T61" s="498">
        <f t="shared" si="3"/>
        <v>0</v>
      </c>
      <c r="U61" s="502"/>
    </row>
    <row r="62" spans="2:21">
      <c r="B62" s="430" t="s">
        <v>208</v>
      </c>
      <c r="C62" s="512" t="s">
        <v>209</v>
      </c>
      <c r="D62" s="519"/>
      <c r="E62" s="504"/>
      <c r="F62" s="113">
        <v>8.7784490329999993</v>
      </c>
      <c r="G62" s="505">
        <f t="shared" si="15"/>
        <v>8.7784490329999993</v>
      </c>
      <c r="H62" s="504"/>
      <c r="I62" s="101">
        <v>8.7784490329999993</v>
      </c>
      <c r="J62" s="505">
        <f t="shared" ref="J62" si="18">H62+I62</f>
        <v>8.7784490329999993</v>
      </c>
      <c r="K62" s="505"/>
      <c r="L62" s="505"/>
      <c r="M62" s="505"/>
      <c r="N62" s="505"/>
      <c r="O62" s="505"/>
      <c r="P62" s="505"/>
      <c r="Q62" s="498"/>
      <c r="R62" s="498">
        <f t="shared" si="1"/>
        <v>8.7784490329999993</v>
      </c>
      <c r="S62" s="498">
        <f t="shared" si="2"/>
        <v>8.7784490329999993</v>
      </c>
      <c r="T62" s="498">
        <f t="shared" si="3"/>
        <v>0</v>
      </c>
      <c r="U62" s="502"/>
    </row>
    <row r="63" spans="2:21">
      <c r="B63" s="430" t="s">
        <v>210</v>
      </c>
      <c r="C63" s="512" t="s">
        <v>211</v>
      </c>
      <c r="D63" s="519"/>
      <c r="E63" s="504"/>
      <c r="F63" s="113">
        <v>0</v>
      </c>
      <c r="G63" s="505">
        <f t="shared" si="15"/>
        <v>0</v>
      </c>
      <c r="H63" s="504"/>
      <c r="I63" s="101">
        <v>0</v>
      </c>
      <c r="J63" s="505"/>
      <c r="K63" s="505"/>
      <c r="L63" s="505"/>
      <c r="M63" s="505"/>
      <c r="N63" s="505"/>
      <c r="O63" s="505"/>
      <c r="P63" s="505"/>
      <c r="Q63" s="498"/>
      <c r="R63" s="498">
        <f t="shared" si="1"/>
        <v>0</v>
      </c>
      <c r="S63" s="498">
        <f t="shared" si="2"/>
        <v>0</v>
      </c>
      <c r="T63" s="498">
        <f t="shared" si="3"/>
        <v>0</v>
      </c>
      <c r="U63" s="519"/>
    </row>
    <row r="64" spans="2:21">
      <c r="B64" s="430" t="s">
        <v>212</v>
      </c>
      <c r="C64" s="512" t="s">
        <v>1048</v>
      </c>
      <c r="D64" s="519"/>
      <c r="E64" s="504"/>
      <c r="F64" s="113">
        <v>0</v>
      </c>
      <c r="G64" s="505">
        <f t="shared" si="15"/>
        <v>0</v>
      </c>
      <c r="H64" s="504"/>
      <c r="I64" s="101">
        <v>0</v>
      </c>
      <c r="J64" s="505"/>
      <c r="K64" s="505"/>
      <c r="L64" s="505"/>
      <c r="M64" s="505"/>
      <c r="N64" s="505"/>
      <c r="O64" s="505"/>
      <c r="P64" s="505"/>
      <c r="Q64" s="498"/>
      <c r="R64" s="498">
        <f t="shared" si="1"/>
        <v>0</v>
      </c>
      <c r="S64" s="498">
        <f t="shared" si="2"/>
        <v>0</v>
      </c>
      <c r="T64" s="498">
        <f t="shared" si="3"/>
        <v>0</v>
      </c>
      <c r="U64" s="519"/>
    </row>
    <row r="65" spans="2:21">
      <c r="B65" s="430" t="s">
        <v>213</v>
      </c>
      <c r="C65" s="512" t="s">
        <v>214</v>
      </c>
      <c r="D65" s="519"/>
      <c r="E65" s="504"/>
      <c r="F65" s="113">
        <v>99.600341397999998</v>
      </c>
      <c r="G65" s="505">
        <f t="shared" si="15"/>
        <v>99.600341397999998</v>
      </c>
      <c r="H65" s="504"/>
      <c r="I65" s="101">
        <v>99.600341397999998</v>
      </c>
      <c r="J65" s="505">
        <f t="shared" ref="J65" si="19">H65+I65</f>
        <v>99.600341397999998</v>
      </c>
      <c r="K65" s="505"/>
      <c r="L65" s="505"/>
      <c r="M65" s="505"/>
      <c r="N65" s="505"/>
      <c r="O65" s="505"/>
      <c r="P65" s="505"/>
      <c r="Q65" s="498"/>
      <c r="R65" s="498">
        <f t="shared" si="1"/>
        <v>99.600341397999998</v>
      </c>
      <c r="S65" s="498">
        <f t="shared" si="2"/>
        <v>99.600341397999998</v>
      </c>
      <c r="T65" s="498">
        <f t="shared" si="3"/>
        <v>0</v>
      </c>
      <c r="U65" s="519"/>
    </row>
    <row r="66" spans="2:21">
      <c r="B66" s="430" t="s">
        <v>215</v>
      </c>
      <c r="C66" s="512" t="s">
        <v>216</v>
      </c>
      <c r="D66" s="519"/>
      <c r="E66" s="504"/>
      <c r="F66" s="113">
        <v>0</v>
      </c>
      <c r="G66" s="505">
        <f t="shared" si="15"/>
        <v>0</v>
      </c>
      <c r="H66" s="504"/>
      <c r="I66" s="101">
        <v>0</v>
      </c>
      <c r="J66" s="505"/>
      <c r="K66" s="505"/>
      <c r="L66" s="505"/>
      <c r="M66" s="505"/>
      <c r="N66" s="505"/>
      <c r="O66" s="505"/>
      <c r="P66" s="505"/>
      <c r="Q66" s="498"/>
      <c r="R66" s="498">
        <f t="shared" si="1"/>
        <v>0</v>
      </c>
      <c r="S66" s="498">
        <f t="shared" si="2"/>
        <v>0</v>
      </c>
      <c r="T66" s="498">
        <f t="shared" si="3"/>
        <v>0</v>
      </c>
      <c r="U66" s="519"/>
    </row>
    <row r="67" spans="2:21">
      <c r="B67" s="430" t="s">
        <v>217</v>
      </c>
      <c r="C67" s="512" t="s">
        <v>218</v>
      </c>
      <c r="D67" s="519"/>
      <c r="E67" s="504"/>
      <c r="F67" s="113">
        <v>0</v>
      </c>
      <c r="G67" s="505">
        <f t="shared" si="15"/>
        <v>0</v>
      </c>
      <c r="H67" s="504"/>
      <c r="I67" s="101">
        <v>0</v>
      </c>
      <c r="J67" s="505"/>
      <c r="K67" s="505"/>
      <c r="L67" s="505"/>
      <c r="M67" s="505"/>
      <c r="N67" s="505"/>
      <c r="O67" s="505"/>
      <c r="P67" s="505"/>
      <c r="Q67" s="498"/>
      <c r="R67" s="498">
        <f t="shared" si="1"/>
        <v>0</v>
      </c>
      <c r="S67" s="498">
        <f t="shared" si="2"/>
        <v>0</v>
      </c>
      <c r="T67" s="498">
        <f t="shared" si="3"/>
        <v>0</v>
      </c>
      <c r="U67" s="519"/>
    </row>
    <row r="68" spans="2:21">
      <c r="B68" s="430" t="s">
        <v>219</v>
      </c>
      <c r="C68" s="512" t="s">
        <v>220</v>
      </c>
      <c r="D68" s="519"/>
      <c r="E68" s="504"/>
      <c r="F68" s="113">
        <v>4.5389407999999999E-2</v>
      </c>
      <c r="G68" s="505">
        <f t="shared" si="15"/>
        <v>4.5389407999999999E-2</v>
      </c>
      <c r="H68" s="504"/>
      <c r="I68" s="101">
        <v>4.5389407999999999E-2</v>
      </c>
      <c r="J68" s="505">
        <f t="shared" ref="J68:J69" si="20">H68+I68</f>
        <v>4.5389407999999999E-2</v>
      </c>
      <c r="K68" s="505"/>
      <c r="L68" s="505"/>
      <c r="M68" s="505"/>
      <c r="N68" s="505"/>
      <c r="O68" s="505"/>
      <c r="P68" s="505"/>
      <c r="Q68" s="498"/>
      <c r="R68" s="498">
        <f t="shared" si="1"/>
        <v>4.5389407999999999E-2</v>
      </c>
      <c r="S68" s="498">
        <f t="shared" si="2"/>
        <v>4.5389407999999999E-2</v>
      </c>
      <c r="T68" s="498">
        <f t="shared" si="3"/>
        <v>0</v>
      </c>
      <c r="U68" s="519"/>
    </row>
    <row r="69" spans="2:21">
      <c r="B69" s="430" t="s">
        <v>221</v>
      </c>
      <c r="C69" s="512" t="s">
        <v>222</v>
      </c>
      <c r="D69" s="519"/>
      <c r="E69" s="504"/>
      <c r="F69" s="113">
        <v>14.742875868</v>
      </c>
      <c r="G69" s="505">
        <f t="shared" si="15"/>
        <v>14.742875868</v>
      </c>
      <c r="H69" s="504"/>
      <c r="I69" s="101">
        <v>14.742875868</v>
      </c>
      <c r="J69" s="505">
        <f t="shared" si="20"/>
        <v>14.742875868</v>
      </c>
      <c r="K69" s="505"/>
      <c r="L69" s="505"/>
      <c r="M69" s="505"/>
      <c r="N69" s="505"/>
      <c r="O69" s="505"/>
      <c r="P69" s="505"/>
      <c r="Q69" s="498"/>
      <c r="R69" s="498">
        <f t="shared" si="1"/>
        <v>14.742875868</v>
      </c>
      <c r="S69" s="498">
        <f t="shared" si="2"/>
        <v>14.742875868</v>
      </c>
      <c r="T69" s="498">
        <f t="shared" si="3"/>
        <v>0</v>
      </c>
      <c r="U69" s="502"/>
    </row>
    <row r="70" spans="2:21">
      <c r="B70" s="430" t="s">
        <v>223</v>
      </c>
      <c r="C70" s="512" t="s">
        <v>224</v>
      </c>
      <c r="D70" s="519"/>
      <c r="E70" s="504"/>
      <c r="F70" s="113">
        <v>0</v>
      </c>
      <c r="G70" s="505">
        <f t="shared" si="15"/>
        <v>0</v>
      </c>
      <c r="H70" s="504"/>
      <c r="I70" s="101">
        <v>0</v>
      </c>
      <c r="J70" s="505"/>
      <c r="K70" s="505"/>
      <c r="L70" s="505"/>
      <c r="M70" s="505"/>
      <c r="N70" s="505"/>
      <c r="O70" s="505"/>
      <c r="P70" s="505"/>
      <c r="Q70" s="498"/>
      <c r="R70" s="498">
        <f t="shared" si="1"/>
        <v>0</v>
      </c>
      <c r="S70" s="498">
        <f t="shared" si="2"/>
        <v>0</v>
      </c>
      <c r="T70" s="498">
        <f t="shared" si="3"/>
        <v>0</v>
      </c>
      <c r="U70" s="502"/>
    </row>
    <row r="71" spans="2:21">
      <c r="B71" s="430" t="s">
        <v>225</v>
      </c>
      <c r="C71" s="512" t="s">
        <v>226</v>
      </c>
      <c r="D71" s="519"/>
      <c r="E71" s="504"/>
      <c r="F71" s="113">
        <v>0</v>
      </c>
      <c r="G71" s="505">
        <f t="shared" si="15"/>
        <v>0</v>
      </c>
      <c r="H71" s="504"/>
      <c r="I71" s="101">
        <v>0</v>
      </c>
      <c r="J71" s="505"/>
      <c r="K71" s="505"/>
      <c r="L71" s="505"/>
      <c r="M71" s="505"/>
      <c r="N71" s="505"/>
      <c r="O71" s="505"/>
      <c r="P71" s="505"/>
      <c r="Q71" s="498"/>
      <c r="R71" s="498">
        <f t="shared" si="1"/>
        <v>0</v>
      </c>
      <c r="S71" s="498">
        <f t="shared" si="2"/>
        <v>0</v>
      </c>
      <c r="T71" s="498">
        <f t="shared" si="3"/>
        <v>0</v>
      </c>
      <c r="U71" s="502"/>
    </row>
    <row r="72" spans="2:21">
      <c r="B72" s="430" t="s">
        <v>227</v>
      </c>
      <c r="C72" s="512" t="s">
        <v>228</v>
      </c>
      <c r="D72" s="519"/>
      <c r="E72" s="504"/>
      <c r="F72" s="113">
        <v>0</v>
      </c>
      <c r="G72" s="505">
        <f t="shared" si="15"/>
        <v>0</v>
      </c>
      <c r="H72" s="504"/>
      <c r="I72" s="101">
        <v>0</v>
      </c>
      <c r="J72" s="505"/>
      <c r="K72" s="505"/>
      <c r="L72" s="505"/>
      <c r="M72" s="505"/>
      <c r="N72" s="505"/>
      <c r="O72" s="505"/>
      <c r="P72" s="505"/>
      <c r="Q72" s="498"/>
      <c r="R72" s="498">
        <f t="shared" si="1"/>
        <v>0</v>
      </c>
      <c r="S72" s="498">
        <f t="shared" si="2"/>
        <v>0</v>
      </c>
      <c r="T72" s="498">
        <f t="shared" si="3"/>
        <v>0</v>
      </c>
      <c r="U72" s="502"/>
    </row>
    <row r="73" spans="2:21">
      <c r="B73" s="430" t="s">
        <v>229</v>
      </c>
      <c r="C73" s="512" t="s">
        <v>230</v>
      </c>
      <c r="D73" s="519"/>
      <c r="E73" s="504"/>
      <c r="F73" s="113">
        <v>0</v>
      </c>
      <c r="G73" s="505">
        <f t="shared" si="15"/>
        <v>0</v>
      </c>
      <c r="H73" s="504"/>
      <c r="I73" s="101">
        <v>0</v>
      </c>
      <c r="J73" s="505"/>
      <c r="K73" s="505"/>
      <c r="L73" s="505"/>
      <c r="M73" s="505"/>
      <c r="N73" s="505"/>
      <c r="O73" s="505"/>
      <c r="P73" s="505"/>
      <c r="Q73" s="498"/>
      <c r="R73" s="498">
        <f t="shared" si="1"/>
        <v>0</v>
      </c>
      <c r="S73" s="498">
        <f t="shared" si="2"/>
        <v>0</v>
      </c>
      <c r="T73" s="498">
        <f t="shared" si="3"/>
        <v>0</v>
      </c>
      <c r="U73" s="502"/>
    </row>
    <row r="74" spans="2:21">
      <c r="B74" s="430" t="s">
        <v>231</v>
      </c>
      <c r="C74" s="512" t="s">
        <v>232</v>
      </c>
      <c r="D74" s="519"/>
      <c r="E74" s="504"/>
      <c r="F74" s="113">
        <v>1.566214</v>
      </c>
      <c r="G74" s="505">
        <f t="shared" si="15"/>
        <v>1.566214</v>
      </c>
      <c r="H74" s="504"/>
      <c r="I74" s="101">
        <v>1.534</v>
      </c>
      <c r="J74" s="505">
        <f t="shared" ref="J74" si="21">H74+I74</f>
        <v>1.534</v>
      </c>
      <c r="K74" s="505"/>
      <c r="L74" s="505"/>
      <c r="M74" s="505"/>
      <c r="N74" s="505"/>
      <c r="O74" s="505"/>
      <c r="P74" s="505"/>
      <c r="Q74" s="498"/>
      <c r="R74" s="498">
        <f t="shared" ref="R74:R137" si="22">I74+L74</f>
        <v>1.534</v>
      </c>
      <c r="S74" s="498">
        <f t="shared" ref="S74:S137" si="23">Q74+R74</f>
        <v>1.534</v>
      </c>
      <c r="T74" s="498">
        <f t="shared" ref="T74:T137" si="24">S74-G74</f>
        <v>-3.2213999999999965E-2</v>
      </c>
      <c r="U74" s="502"/>
    </row>
    <row r="75" spans="2:21">
      <c r="B75" s="430" t="s">
        <v>233</v>
      </c>
      <c r="C75" s="512" t="s">
        <v>234</v>
      </c>
      <c r="D75" s="519"/>
      <c r="E75" s="504"/>
      <c r="F75" s="113">
        <v>0</v>
      </c>
      <c r="G75" s="505">
        <f t="shared" si="15"/>
        <v>0</v>
      </c>
      <c r="H75" s="504"/>
      <c r="I75" s="101">
        <v>0</v>
      </c>
      <c r="J75" s="505"/>
      <c r="K75" s="505"/>
      <c r="L75" s="505"/>
      <c r="M75" s="505"/>
      <c r="N75" s="505"/>
      <c r="O75" s="505"/>
      <c r="P75" s="505"/>
      <c r="Q75" s="498"/>
      <c r="R75" s="498">
        <f t="shared" si="22"/>
        <v>0</v>
      </c>
      <c r="S75" s="498">
        <f t="shared" si="23"/>
        <v>0</v>
      </c>
      <c r="T75" s="498">
        <f t="shared" si="24"/>
        <v>0</v>
      </c>
      <c r="U75" s="502"/>
    </row>
    <row r="76" spans="2:21">
      <c r="B76" s="430" t="s">
        <v>235</v>
      </c>
      <c r="C76" s="512" t="s">
        <v>236</v>
      </c>
      <c r="D76" s="519"/>
      <c r="E76" s="504"/>
      <c r="F76" s="113">
        <v>15.177098268</v>
      </c>
      <c r="G76" s="505">
        <f t="shared" si="15"/>
        <v>15.177098268</v>
      </c>
      <c r="H76" s="504"/>
      <c r="I76" s="101">
        <v>15.177098268</v>
      </c>
      <c r="J76" s="505">
        <f t="shared" ref="J76:J77" si="25">H76+I76</f>
        <v>15.177098268</v>
      </c>
      <c r="K76" s="505"/>
      <c r="L76" s="505"/>
      <c r="M76" s="505"/>
      <c r="N76" s="505"/>
      <c r="O76" s="505"/>
      <c r="P76" s="505"/>
      <c r="Q76" s="498"/>
      <c r="R76" s="498">
        <f t="shared" si="22"/>
        <v>15.177098268</v>
      </c>
      <c r="S76" s="498">
        <f t="shared" si="23"/>
        <v>15.177098268</v>
      </c>
      <c r="T76" s="498">
        <f t="shared" si="24"/>
        <v>0</v>
      </c>
      <c r="U76" s="502"/>
    </row>
    <row r="77" spans="2:21">
      <c r="B77" s="430" t="s">
        <v>237</v>
      </c>
      <c r="C77" s="512" t="s">
        <v>238</v>
      </c>
      <c r="D77" s="519"/>
      <c r="E77" s="504"/>
      <c r="F77" s="113">
        <v>0.99533000000000005</v>
      </c>
      <c r="G77" s="505">
        <f t="shared" si="15"/>
        <v>0.99533000000000005</v>
      </c>
      <c r="H77" s="504"/>
      <c r="I77" s="101">
        <v>0.99533000000000005</v>
      </c>
      <c r="J77" s="505">
        <f t="shared" si="25"/>
        <v>0.99533000000000005</v>
      </c>
      <c r="K77" s="505"/>
      <c r="L77" s="505"/>
      <c r="M77" s="505"/>
      <c r="N77" s="505"/>
      <c r="O77" s="505"/>
      <c r="P77" s="505"/>
      <c r="Q77" s="498"/>
      <c r="R77" s="498">
        <f t="shared" si="22"/>
        <v>0.99533000000000005</v>
      </c>
      <c r="S77" s="498">
        <f t="shared" si="23"/>
        <v>0.99533000000000005</v>
      </c>
      <c r="T77" s="498">
        <f t="shared" si="24"/>
        <v>0</v>
      </c>
      <c r="U77" s="502"/>
    </row>
    <row r="78" spans="2:21">
      <c r="B78" s="430" t="s">
        <v>239</v>
      </c>
      <c r="C78" s="512" t="s">
        <v>1049</v>
      </c>
      <c r="D78" s="519"/>
      <c r="E78" s="504"/>
      <c r="F78" s="113">
        <v>0</v>
      </c>
      <c r="G78" s="505"/>
      <c r="H78" s="504"/>
      <c r="I78" s="101">
        <v>0</v>
      </c>
      <c r="J78" s="505"/>
      <c r="K78" s="505"/>
      <c r="L78" s="505"/>
      <c r="M78" s="505"/>
      <c r="N78" s="505"/>
      <c r="O78" s="505"/>
      <c r="P78" s="505"/>
      <c r="Q78" s="498"/>
      <c r="R78" s="498">
        <f t="shared" si="22"/>
        <v>0</v>
      </c>
      <c r="S78" s="498">
        <f t="shared" si="23"/>
        <v>0</v>
      </c>
      <c r="T78" s="498">
        <f t="shared" si="24"/>
        <v>0</v>
      </c>
      <c r="U78" s="502"/>
    </row>
    <row r="79" spans="2:21" s="500" customFormat="1" ht="15">
      <c r="B79" s="511"/>
      <c r="C79" s="520" t="s">
        <v>240</v>
      </c>
      <c r="D79" s="521"/>
      <c r="E79" s="495">
        <f>E45</f>
        <v>0</v>
      </c>
      <c r="F79" s="496">
        <f>F45</f>
        <v>515.17241825500003</v>
      </c>
      <c r="G79" s="496">
        <f t="shared" ref="G79:M79" si="26">G45</f>
        <v>515.17241825500003</v>
      </c>
      <c r="H79" s="495">
        <f t="shared" si="26"/>
        <v>0</v>
      </c>
      <c r="I79" s="496">
        <f t="shared" si="26"/>
        <v>514.10000215900004</v>
      </c>
      <c r="J79" s="496">
        <f t="shared" si="26"/>
        <v>514.10000215900004</v>
      </c>
      <c r="K79" s="496">
        <f t="shared" si="26"/>
        <v>0</v>
      </c>
      <c r="L79" s="496">
        <f t="shared" si="26"/>
        <v>0</v>
      </c>
      <c r="M79" s="496">
        <f t="shared" si="26"/>
        <v>0</v>
      </c>
      <c r="N79" s="497"/>
      <c r="O79" s="497"/>
      <c r="P79" s="497"/>
      <c r="Q79" s="498"/>
      <c r="R79" s="498">
        <f t="shared" si="22"/>
        <v>514.10000215900004</v>
      </c>
      <c r="S79" s="498">
        <f t="shared" si="23"/>
        <v>514.10000215900004</v>
      </c>
      <c r="T79" s="498">
        <f t="shared" si="24"/>
        <v>-1.0724160959999836</v>
      </c>
      <c r="U79" s="499"/>
    </row>
    <row r="80" spans="2:21" s="500" customFormat="1" ht="15">
      <c r="B80" s="511"/>
      <c r="C80" s="520"/>
      <c r="D80" s="521"/>
      <c r="E80" s="510"/>
      <c r="F80" s="497"/>
      <c r="G80" s="497"/>
      <c r="H80" s="510"/>
      <c r="I80" s="497"/>
      <c r="J80" s="497"/>
      <c r="K80" s="497"/>
      <c r="L80" s="497"/>
      <c r="M80" s="497"/>
      <c r="N80" s="497"/>
      <c r="O80" s="497"/>
      <c r="P80" s="497"/>
      <c r="Q80" s="498"/>
      <c r="R80" s="498">
        <f t="shared" si="22"/>
        <v>0</v>
      </c>
      <c r="S80" s="498">
        <f t="shared" si="23"/>
        <v>0</v>
      </c>
      <c r="T80" s="498">
        <f t="shared" si="24"/>
        <v>0</v>
      </c>
      <c r="U80" s="499"/>
    </row>
    <row r="81" spans="2:21" s="500" customFormat="1" ht="15">
      <c r="B81" s="511">
        <v>2.4</v>
      </c>
      <c r="C81" s="508" t="s">
        <v>241</v>
      </c>
      <c r="D81" s="509" t="s">
        <v>1058</v>
      </c>
      <c r="E81" s="495">
        <f>SUM(E82:E96)</f>
        <v>0</v>
      </c>
      <c r="F81" s="496">
        <f>SUM(F82:F96)</f>
        <v>39.243551615680005</v>
      </c>
      <c r="G81" s="496">
        <f t="shared" ref="G81:M81" si="27">SUM(G82:G96)</f>
        <v>39.243551615680005</v>
      </c>
      <c r="H81" s="495">
        <f t="shared" si="27"/>
        <v>0</v>
      </c>
      <c r="I81" s="496">
        <f t="shared" si="27"/>
        <v>39.072612124000003</v>
      </c>
      <c r="J81" s="496">
        <f t="shared" si="27"/>
        <v>39.072612124000003</v>
      </c>
      <c r="K81" s="496">
        <f t="shared" si="27"/>
        <v>0</v>
      </c>
      <c r="L81" s="496">
        <f t="shared" si="27"/>
        <v>0</v>
      </c>
      <c r="M81" s="496">
        <f t="shared" si="27"/>
        <v>0</v>
      </c>
      <c r="N81" s="497"/>
      <c r="O81" s="497"/>
      <c r="P81" s="497"/>
      <c r="Q81" s="498"/>
      <c r="R81" s="498">
        <f t="shared" si="22"/>
        <v>39.072612124000003</v>
      </c>
      <c r="S81" s="498">
        <f t="shared" si="23"/>
        <v>39.072612124000003</v>
      </c>
      <c r="T81" s="498">
        <f t="shared" si="24"/>
        <v>-0.17093949168000222</v>
      </c>
      <c r="U81" s="499"/>
    </row>
    <row r="82" spans="2:21" ht="15">
      <c r="B82" s="430" t="s">
        <v>111</v>
      </c>
      <c r="C82" s="512" t="s">
        <v>242</v>
      </c>
      <c r="D82" s="519"/>
      <c r="E82" s="504"/>
      <c r="F82" s="497"/>
      <c r="G82" s="505"/>
      <c r="H82" s="504"/>
      <c r="I82" s="505"/>
      <c r="J82" s="505"/>
      <c r="K82" s="505"/>
      <c r="L82" s="505"/>
      <c r="M82" s="505"/>
      <c r="N82" s="505"/>
      <c r="O82" s="505"/>
      <c r="P82" s="505"/>
      <c r="Q82" s="498"/>
      <c r="R82" s="498">
        <f t="shared" si="22"/>
        <v>0</v>
      </c>
      <c r="S82" s="498">
        <f t="shared" si="23"/>
        <v>0</v>
      </c>
      <c r="T82" s="498">
        <f t="shared" si="24"/>
        <v>0</v>
      </c>
      <c r="U82" s="502"/>
    </row>
    <row r="83" spans="2:21">
      <c r="B83" s="430" t="s">
        <v>112</v>
      </c>
      <c r="C83" s="512" t="s">
        <v>243</v>
      </c>
      <c r="D83" s="519"/>
      <c r="E83" s="504"/>
      <c r="F83" s="101">
        <v>7.8201668</v>
      </c>
      <c r="G83" s="505">
        <f>E83+F83</f>
        <v>7.8201668</v>
      </c>
      <c r="H83" s="504"/>
      <c r="I83" s="101">
        <v>7.8201668</v>
      </c>
      <c r="J83" s="505">
        <f t="shared" ref="J83:J84" si="28">H83+I83</f>
        <v>7.8201668</v>
      </c>
      <c r="K83" s="505"/>
      <c r="L83" s="505"/>
      <c r="M83" s="505"/>
      <c r="N83" s="505"/>
      <c r="O83" s="505"/>
      <c r="P83" s="505"/>
      <c r="Q83" s="498"/>
      <c r="R83" s="498">
        <f t="shared" si="22"/>
        <v>7.8201668</v>
      </c>
      <c r="S83" s="498">
        <f t="shared" si="23"/>
        <v>7.8201668</v>
      </c>
      <c r="T83" s="498">
        <f t="shared" si="24"/>
        <v>0</v>
      </c>
      <c r="U83" s="502"/>
    </row>
    <row r="84" spans="2:21">
      <c r="B84" s="430" t="s">
        <v>113</v>
      </c>
      <c r="C84" s="512" t="s">
        <v>1050</v>
      </c>
      <c r="D84" s="519"/>
      <c r="E84" s="504"/>
      <c r="F84" s="101">
        <v>14.399539617679999</v>
      </c>
      <c r="G84" s="505">
        <f t="shared" ref="G84:G96" si="29">E84+F84</f>
        <v>14.399539617679999</v>
      </c>
      <c r="H84" s="504"/>
      <c r="I84" s="101">
        <v>14.267408083999998</v>
      </c>
      <c r="J84" s="505">
        <f t="shared" si="28"/>
        <v>14.267408083999998</v>
      </c>
      <c r="K84" s="505"/>
      <c r="L84" s="505"/>
      <c r="M84" s="505"/>
      <c r="N84" s="505"/>
      <c r="O84" s="505"/>
      <c r="P84" s="505"/>
      <c r="Q84" s="498"/>
      <c r="R84" s="498">
        <f t="shared" si="22"/>
        <v>14.267408083999998</v>
      </c>
      <c r="S84" s="498">
        <f t="shared" si="23"/>
        <v>14.267408083999998</v>
      </c>
      <c r="T84" s="498">
        <f t="shared" si="24"/>
        <v>-0.13213153368000086</v>
      </c>
      <c r="U84" s="502"/>
    </row>
    <row r="85" spans="2:21">
      <c r="B85" s="430" t="s">
        <v>244</v>
      </c>
      <c r="C85" s="512" t="s">
        <v>245</v>
      </c>
      <c r="D85" s="519"/>
      <c r="E85" s="504"/>
      <c r="F85" s="101">
        <v>0</v>
      </c>
      <c r="G85" s="505">
        <f t="shared" si="29"/>
        <v>0</v>
      </c>
      <c r="H85" s="504"/>
      <c r="I85" s="101">
        <v>0</v>
      </c>
      <c r="J85" s="505"/>
      <c r="K85" s="505"/>
      <c r="L85" s="505"/>
      <c r="M85" s="505"/>
      <c r="N85" s="505"/>
      <c r="O85" s="505"/>
      <c r="P85" s="505"/>
      <c r="Q85" s="498"/>
      <c r="R85" s="498">
        <f t="shared" si="22"/>
        <v>0</v>
      </c>
      <c r="S85" s="498">
        <f t="shared" si="23"/>
        <v>0</v>
      </c>
      <c r="T85" s="498">
        <f t="shared" si="24"/>
        <v>0</v>
      </c>
      <c r="U85" s="502"/>
    </row>
    <row r="86" spans="2:21">
      <c r="B86" s="430" t="s">
        <v>246</v>
      </c>
      <c r="C86" s="512" t="s">
        <v>247</v>
      </c>
      <c r="D86" s="519"/>
      <c r="E86" s="504"/>
      <c r="F86" s="101">
        <v>1.1030499579999999</v>
      </c>
      <c r="G86" s="505">
        <f t="shared" si="29"/>
        <v>1.1030499579999999</v>
      </c>
      <c r="H86" s="504"/>
      <c r="I86" s="101">
        <v>1.0642419999999999</v>
      </c>
      <c r="J86" s="505">
        <f t="shared" ref="J86" si="30">H86+I86</f>
        <v>1.0642419999999999</v>
      </c>
      <c r="K86" s="505"/>
      <c r="L86" s="505"/>
      <c r="M86" s="505"/>
      <c r="N86" s="505"/>
      <c r="O86" s="505"/>
      <c r="P86" s="505"/>
      <c r="Q86" s="498"/>
      <c r="R86" s="498">
        <f t="shared" si="22"/>
        <v>1.0642419999999999</v>
      </c>
      <c r="S86" s="498">
        <f t="shared" si="23"/>
        <v>1.0642419999999999</v>
      </c>
      <c r="T86" s="498">
        <f t="shared" si="24"/>
        <v>-3.8807958000000031E-2</v>
      </c>
      <c r="U86" s="502"/>
    </row>
    <row r="87" spans="2:21">
      <c r="B87" s="430" t="s">
        <v>248</v>
      </c>
      <c r="C87" s="512" t="s">
        <v>249</v>
      </c>
      <c r="D87" s="519"/>
      <c r="E87" s="504"/>
      <c r="F87" s="101">
        <v>0</v>
      </c>
      <c r="G87" s="505">
        <f t="shared" si="29"/>
        <v>0</v>
      </c>
      <c r="H87" s="504"/>
      <c r="I87" s="101">
        <v>0</v>
      </c>
      <c r="J87" s="505"/>
      <c r="K87" s="505"/>
      <c r="L87" s="505"/>
      <c r="M87" s="505"/>
      <c r="N87" s="505"/>
      <c r="O87" s="505"/>
      <c r="P87" s="505"/>
      <c r="Q87" s="498"/>
      <c r="R87" s="498">
        <f t="shared" si="22"/>
        <v>0</v>
      </c>
      <c r="S87" s="498">
        <f t="shared" si="23"/>
        <v>0</v>
      </c>
      <c r="T87" s="498">
        <f t="shared" si="24"/>
        <v>0</v>
      </c>
      <c r="U87" s="502"/>
    </row>
    <row r="88" spans="2:21">
      <c r="B88" s="430" t="s">
        <v>250</v>
      </c>
      <c r="C88" s="512" t="s">
        <v>251</v>
      </c>
      <c r="D88" s="519"/>
      <c r="E88" s="504"/>
      <c r="F88" s="101">
        <v>0</v>
      </c>
      <c r="G88" s="505">
        <f t="shared" si="29"/>
        <v>0</v>
      </c>
      <c r="H88" s="504"/>
      <c r="I88" s="101">
        <v>0</v>
      </c>
      <c r="J88" s="505"/>
      <c r="K88" s="505"/>
      <c r="L88" s="505"/>
      <c r="M88" s="505"/>
      <c r="N88" s="505"/>
      <c r="O88" s="505"/>
      <c r="P88" s="505"/>
      <c r="Q88" s="498"/>
      <c r="R88" s="498">
        <f t="shared" si="22"/>
        <v>0</v>
      </c>
      <c r="S88" s="498">
        <f t="shared" si="23"/>
        <v>0</v>
      </c>
      <c r="T88" s="498">
        <f t="shared" si="24"/>
        <v>0</v>
      </c>
      <c r="U88" s="502"/>
    </row>
    <row r="89" spans="2:21">
      <c r="B89" s="430" t="s">
        <v>252</v>
      </c>
      <c r="C89" s="512" t="s">
        <v>253</v>
      </c>
      <c r="D89" s="519"/>
      <c r="E89" s="504"/>
      <c r="F89" s="101">
        <v>0</v>
      </c>
      <c r="G89" s="505">
        <f t="shared" si="29"/>
        <v>0</v>
      </c>
      <c r="H89" s="504"/>
      <c r="I89" s="101">
        <v>0</v>
      </c>
      <c r="J89" s="505"/>
      <c r="K89" s="505"/>
      <c r="L89" s="505"/>
      <c r="M89" s="505"/>
      <c r="N89" s="505"/>
      <c r="O89" s="505"/>
      <c r="P89" s="505"/>
      <c r="Q89" s="498"/>
      <c r="R89" s="498">
        <f t="shared" si="22"/>
        <v>0</v>
      </c>
      <c r="S89" s="498">
        <f t="shared" si="23"/>
        <v>0</v>
      </c>
      <c r="T89" s="498">
        <f t="shared" si="24"/>
        <v>0</v>
      </c>
      <c r="U89" s="502"/>
    </row>
    <row r="90" spans="2:21">
      <c r="B90" s="430" t="s">
        <v>254</v>
      </c>
      <c r="C90" s="512" t="s">
        <v>255</v>
      </c>
      <c r="D90" s="519"/>
      <c r="E90" s="504"/>
      <c r="F90" s="101">
        <v>0</v>
      </c>
      <c r="G90" s="505">
        <f t="shared" si="29"/>
        <v>0</v>
      </c>
      <c r="H90" s="504"/>
      <c r="I90" s="101">
        <v>0</v>
      </c>
      <c r="J90" s="505"/>
      <c r="K90" s="505"/>
      <c r="L90" s="505"/>
      <c r="M90" s="505"/>
      <c r="N90" s="505"/>
      <c r="O90" s="505"/>
      <c r="P90" s="505"/>
      <c r="Q90" s="498"/>
      <c r="R90" s="498">
        <f t="shared" si="22"/>
        <v>0</v>
      </c>
      <c r="S90" s="498">
        <f t="shared" si="23"/>
        <v>0</v>
      </c>
      <c r="T90" s="498">
        <f t="shared" si="24"/>
        <v>0</v>
      </c>
      <c r="U90" s="502"/>
    </row>
    <row r="91" spans="2:21">
      <c r="B91" s="430" t="s">
        <v>256</v>
      </c>
      <c r="C91" s="512" t="s">
        <v>257</v>
      </c>
      <c r="D91" s="519"/>
      <c r="E91" s="504"/>
      <c r="F91" s="101">
        <v>0</v>
      </c>
      <c r="G91" s="505">
        <f t="shared" si="29"/>
        <v>0</v>
      </c>
      <c r="H91" s="504"/>
      <c r="I91" s="101">
        <v>0</v>
      </c>
      <c r="J91" s="505"/>
      <c r="K91" s="505"/>
      <c r="L91" s="505"/>
      <c r="M91" s="505"/>
      <c r="N91" s="505"/>
      <c r="O91" s="505"/>
      <c r="P91" s="505"/>
      <c r="Q91" s="498"/>
      <c r="R91" s="498">
        <f t="shared" si="22"/>
        <v>0</v>
      </c>
      <c r="S91" s="498">
        <f t="shared" si="23"/>
        <v>0</v>
      </c>
      <c r="T91" s="498">
        <f t="shared" si="24"/>
        <v>0</v>
      </c>
      <c r="U91" s="502"/>
    </row>
    <row r="92" spans="2:21">
      <c r="B92" s="430" t="s">
        <v>258</v>
      </c>
      <c r="C92" s="512" t="s">
        <v>259</v>
      </c>
      <c r="D92" s="519"/>
      <c r="E92" s="504"/>
      <c r="F92" s="101">
        <v>0</v>
      </c>
      <c r="G92" s="505">
        <f t="shared" si="29"/>
        <v>0</v>
      </c>
      <c r="H92" s="504"/>
      <c r="I92" s="101">
        <v>0</v>
      </c>
      <c r="J92" s="505"/>
      <c r="K92" s="505"/>
      <c r="L92" s="505"/>
      <c r="M92" s="505"/>
      <c r="N92" s="505"/>
      <c r="O92" s="505"/>
      <c r="P92" s="505"/>
      <c r="Q92" s="498"/>
      <c r="R92" s="498">
        <f t="shared" si="22"/>
        <v>0</v>
      </c>
      <c r="S92" s="498">
        <f t="shared" si="23"/>
        <v>0</v>
      </c>
      <c r="T92" s="498">
        <f t="shared" si="24"/>
        <v>0</v>
      </c>
      <c r="U92" s="502"/>
    </row>
    <row r="93" spans="2:21">
      <c r="B93" s="430" t="s">
        <v>260</v>
      </c>
      <c r="C93" s="512" t="s">
        <v>261</v>
      </c>
      <c r="D93" s="519"/>
      <c r="E93" s="504"/>
      <c r="F93" s="101">
        <v>0</v>
      </c>
      <c r="G93" s="505">
        <f t="shared" si="29"/>
        <v>0</v>
      </c>
      <c r="H93" s="504"/>
      <c r="I93" s="101">
        <v>0</v>
      </c>
      <c r="J93" s="505"/>
      <c r="K93" s="505"/>
      <c r="L93" s="505"/>
      <c r="M93" s="505"/>
      <c r="N93" s="505"/>
      <c r="O93" s="505"/>
      <c r="P93" s="505"/>
      <c r="Q93" s="498"/>
      <c r="R93" s="498">
        <f t="shared" si="22"/>
        <v>0</v>
      </c>
      <c r="S93" s="498">
        <f t="shared" si="23"/>
        <v>0</v>
      </c>
      <c r="T93" s="498">
        <f t="shared" si="24"/>
        <v>0</v>
      </c>
      <c r="U93" s="502"/>
    </row>
    <row r="94" spans="2:21">
      <c r="B94" s="430" t="s">
        <v>262</v>
      </c>
      <c r="C94" s="512" t="s">
        <v>263</v>
      </c>
      <c r="D94" s="519"/>
      <c r="E94" s="504"/>
      <c r="F94" s="101">
        <v>12.46340524</v>
      </c>
      <c r="G94" s="505">
        <f t="shared" si="29"/>
        <v>12.46340524</v>
      </c>
      <c r="H94" s="504"/>
      <c r="I94" s="101">
        <v>12.46340524</v>
      </c>
      <c r="J94" s="505">
        <f t="shared" ref="J94:J95" si="31">H94+I94</f>
        <v>12.46340524</v>
      </c>
      <c r="K94" s="505"/>
      <c r="L94" s="505"/>
      <c r="M94" s="505"/>
      <c r="N94" s="505"/>
      <c r="O94" s="505"/>
      <c r="P94" s="505"/>
      <c r="Q94" s="498"/>
      <c r="R94" s="498">
        <f t="shared" si="22"/>
        <v>12.46340524</v>
      </c>
      <c r="S94" s="498">
        <f t="shared" si="23"/>
        <v>12.46340524</v>
      </c>
      <c r="T94" s="498">
        <f t="shared" si="24"/>
        <v>0</v>
      </c>
      <c r="U94" s="502"/>
    </row>
    <row r="95" spans="2:21">
      <c r="B95" s="430" t="s">
        <v>264</v>
      </c>
      <c r="C95" s="512" t="s">
        <v>265</v>
      </c>
      <c r="D95" s="519"/>
      <c r="E95" s="504"/>
      <c r="F95" s="101">
        <v>3.4573900000000002</v>
      </c>
      <c r="G95" s="505">
        <f t="shared" si="29"/>
        <v>3.4573900000000002</v>
      </c>
      <c r="H95" s="504"/>
      <c r="I95" s="101">
        <v>3.4573900000000002</v>
      </c>
      <c r="J95" s="505">
        <f t="shared" si="31"/>
        <v>3.4573900000000002</v>
      </c>
      <c r="K95" s="505"/>
      <c r="L95" s="505"/>
      <c r="M95" s="505"/>
      <c r="N95" s="505"/>
      <c r="O95" s="505"/>
      <c r="P95" s="505"/>
      <c r="Q95" s="498"/>
      <c r="R95" s="498">
        <f t="shared" si="22"/>
        <v>3.4573900000000002</v>
      </c>
      <c r="S95" s="498">
        <f t="shared" si="23"/>
        <v>3.4573900000000002</v>
      </c>
      <c r="T95" s="498">
        <f t="shared" si="24"/>
        <v>0</v>
      </c>
      <c r="U95" s="502"/>
    </row>
    <row r="96" spans="2:21">
      <c r="B96" s="430" t="s">
        <v>266</v>
      </c>
      <c r="C96" s="512" t="s">
        <v>267</v>
      </c>
      <c r="D96" s="519"/>
      <c r="E96" s="504"/>
      <c r="F96" s="101">
        <v>0</v>
      </c>
      <c r="G96" s="505">
        <f t="shared" si="29"/>
        <v>0</v>
      </c>
      <c r="H96" s="504"/>
      <c r="I96" s="101">
        <v>0</v>
      </c>
      <c r="J96" s="505"/>
      <c r="K96" s="505"/>
      <c r="L96" s="505"/>
      <c r="M96" s="505"/>
      <c r="N96" s="505"/>
      <c r="O96" s="505"/>
      <c r="P96" s="505"/>
      <c r="Q96" s="498"/>
      <c r="R96" s="498">
        <f t="shared" si="22"/>
        <v>0</v>
      </c>
      <c r="S96" s="498">
        <f t="shared" si="23"/>
        <v>0</v>
      </c>
      <c r="T96" s="498">
        <f t="shared" si="24"/>
        <v>0</v>
      </c>
      <c r="U96" s="502"/>
    </row>
    <row r="97" spans="2:21" s="500" customFormat="1" ht="15">
      <c r="B97" s="511" t="s">
        <v>268</v>
      </c>
      <c r="C97" s="508" t="s">
        <v>269</v>
      </c>
      <c r="D97" s="521"/>
      <c r="E97" s="495">
        <f>E81</f>
        <v>0</v>
      </c>
      <c r="F97" s="496">
        <f>F81</f>
        <v>39.243551615680005</v>
      </c>
      <c r="G97" s="496">
        <f t="shared" ref="G97:M97" si="32">G81</f>
        <v>39.243551615680005</v>
      </c>
      <c r="H97" s="495">
        <f t="shared" si="32"/>
        <v>0</v>
      </c>
      <c r="I97" s="496">
        <f t="shared" si="32"/>
        <v>39.072612124000003</v>
      </c>
      <c r="J97" s="496">
        <f t="shared" si="32"/>
        <v>39.072612124000003</v>
      </c>
      <c r="K97" s="496">
        <f t="shared" si="32"/>
        <v>0</v>
      </c>
      <c r="L97" s="496">
        <f t="shared" si="32"/>
        <v>0</v>
      </c>
      <c r="M97" s="496">
        <f t="shared" si="32"/>
        <v>0</v>
      </c>
      <c r="N97" s="497"/>
      <c r="O97" s="497"/>
      <c r="P97" s="497"/>
      <c r="Q97" s="498"/>
      <c r="R97" s="498">
        <f t="shared" si="22"/>
        <v>39.072612124000003</v>
      </c>
      <c r="S97" s="498">
        <f t="shared" si="23"/>
        <v>39.072612124000003</v>
      </c>
      <c r="T97" s="498">
        <f t="shared" si="24"/>
        <v>-0.17093949168000222</v>
      </c>
      <c r="U97" s="499"/>
    </row>
    <row r="98" spans="2:21" s="500" customFormat="1" ht="15">
      <c r="B98" s="511"/>
      <c r="C98" s="508" t="s">
        <v>270</v>
      </c>
      <c r="D98" s="521"/>
      <c r="E98" s="495">
        <f>E79+E97</f>
        <v>0</v>
      </c>
      <c r="F98" s="496">
        <f>F79+F97</f>
        <v>554.41596987067999</v>
      </c>
      <c r="G98" s="496">
        <f t="shared" ref="G98:M98" si="33">G79+G97</f>
        <v>554.41596987067999</v>
      </c>
      <c r="H98" s="495">
        <f t="shared" si="33"/>
        <v>0</v>
      </c>
      <c r="I98" s="496">
        <f t="shared" si="33"/>
        <v>553.17261428300003</v>
      </c>
      <c r="J98" s="496">
        <f t="shared" si="33"/>
        <v>553.17261428300003</v>
      </c>
      <c r="K98" s="496">
        <f t="shared" si="33"/>
        <v>0</v>
      </c>
      <c r="L98" s="496">
        <f t="shared" si="33"/>
        <v>0</v>
      </c>
      <c r="M98" s="496">
        <f t="shared" si="33"/>
        <v>0</v>
      </c>
      <c r="N98" s="497"/>
      <c r="O98" s="497"/>
      <c r="P98" s="497"/>
      <c r="Q98" s="498"/>
      <c r="R98" s="498">
        <f t="shared" si="22"/>
        <v>553.17261428300003</v>
      </c>
      <c r="S98" s="498">
        <f t="shared" si="23"/>
        <v>553.17261428300003</v>
      </c>
      <c r="T98" s="498">
        <f t="shared" si="24"/>
        <v>-1.2433555876799574</v>
      </c>
      <c r="U98" s="499"/>
    </row>
    <row r="99" spans="2:21" s="500" customFormat="1" ht="15">
      <c r="B99" s="511"/>
      <c r="C99" s="508"/>
      <c r="D99" s="521"/>
      <c r="E99" s="510"/>
      <c r="F99" s="497"/>
      <c r="G99" s="505"/>
      <c r="H99" s="510"/>
      <c r="I99" s="497"/>
      <c r="J99" s="497"/>
      <c r="K99" s="497"/>
      <c r="L99" s="497"/>
      <c r="M99" s="497"/>
      <c r="N99" s="497"/>
      <c r="O99" s="497"/>
      <c r="P99" s="497"/>
      <c r="Q99" s="498"/>
      <c r="R99" s="498">
        <f t="shared" si="22"/>
        <v>0</v>
      </c>
      <c r="S99" s="498">
        <f t="shared" si="23"/>
        <v>0</v>
      </c>
      <c r="T99" s="498">
        <f t="shared" si="24"/>
        <v>0</v>
      </c>
      <c r="U99" s="499"/>
    </row>
    <row r="100" spans="2:21" s="500" customFormat="1" ht="15">
      <c r="B100" s="511">
        <v>2.5</v>
      </c>
      <c r="C100" s="520" t="s">
        <v>1051</v>
      </c>
      <c r="D100" s="509" t="s">
        <v>1058</v>
      </c>
      <c r="E100" s="510"/>
      <c r="F100" s="497"/>
      <c r="G100" s="505">
        <f t="shared" ref="G100:G151" si="34">E100+F100</f>
        <v>0</v>
      </c>
      <c r="H100" s="510"/>
      <c r="I100" s="497"/>
      <c r="J100" s="497"/>
      <c r="K100" s="497"/>
      <c r="L100" s="497"/>
      <c r="M100" s="497"/>
      <c r="N100" s="497"/>
      <c r="O100" s="497"/>
      <c r="P100" s="497"/>
      <c r="Q100" s="498"/>
      <c r="R100" s="498">
        <f t="shared" si="22"/>
        <v>0</v>
      </c>
      <c r="S100" s="498">
        <f t="shared" si="23"/>
        <v>0</v>
      </c>
      <c r="T100" s="498">
        <f t="shared" si="24"/>
        <v>0</v>
      </c>
      <c r="U100" s="499"/>
    </row>
    <row r="101" spans="2:21" ht="15">
      <c r="B101" s="430" t="s">
        <v>271</v>
      </c>
      <c r="C101" s="512" t="s">
        <v>272</v>
      </c>
      <c r="D101" s="519"/>
      <c r="E101" s="504"/>
      <c r="F101" s="497"/>
      <c r="G101" s="505">
        <f t="shared" si="34"/>
        <v>0</v>
      </c>
      <c r="H101" s="504"/>
      <c r="I101" s="505"/>
      <c r="J101" s="505"/>
      <c r="K101" s="505"/>
      <c r="L101" s="505"/>
      <c r="M101" s="505"/>
      <c r="N101" s="505"/>
      <c r="O101" s="505"/>
      <c r="P101" s="505"/>
      <c r="Q101" s="498"/>
      <c r="R101" s="498">
        <f t="shared" si="22"/>
        <v>0</v>
      </c>
      <c r="S101" s="498">
        <f t="shared" si="23"/>
        <v>0</v>
      </c>
      <c r="T101" s="498">
        <f t="shared" si="24"/>
        <v>0</v>
      </c>
      <c r="U101" s="502"/>
    </row>
    <row r="102" spans="2:21" ht="15">
      <c r="B102" s="430" t="s">
        <v>348</v>
      </c>
      <c r="C102" s="512" t="s">
        <v>273</v>
      </c>
      <c r="D102" s="519"/>
      <c r="E102" s="504"/>
      <c r="F102" s="497"/>
      <c r="G102" s="505">
        <f t="shared" si="34"/>
        <v>0</v>
      </c>
      <c r="H102" s="504"/>
      <c r="I102" s="505"/>
      <c r="J102" s="505"/>
      <c r="K102" s="505"/>
      <c r="L102" s="505"/>
      <c r="M102" s="505"/>
      <c r="N102" s="505"/>
      <c r="O102" s="505"/>
      <c r="P102" s="505"/>
      <c r="Q102" s="498"/>
      <c r="R102" s="498">
        <f t="shared" si="22"/>
        <v>0</v>
      </c>
      <c r="S102" s="498">
        <f t="shared" si="23"/>
        <v>0</v>
      </c>
      <c r="T102" s="498">
        <f t="shared" si="24"/>
        <v>0</v>
      </c>
      <c r="U102" s="502"/>
    </row>
    <row r="103" spans="2:21" s="500" customFormat="1" ht="15">
      <c r="B103" s="511" t="s">
        <v>349</v>
      </c>
      <c r="C103" s="522" t="s">
        <v>274</v>
      </c>
      <c r="D103" s="521"/>
      <c r="E103" s="495">
        <f>SUM(E101:E102)</f>
        <v>0</v>
      </c>
      <c r="F103" s="496">
        <f>SUM(F101:F102)</f>
        <v>0</v>
      </c>
      <c r="G103" s="496">
        <f t="shared" ref="G103:M103" si="35">SUM(G101:G102)</f>
        <v>0</v>
      </c>
      <c r="H103" s="495">
        <f t="shared" si="35"/>
        <v>0</v>
      </c>
      <c r="I103" s="496">
        <f t="shared" si="35"/>
        <v>0</v>
      </c>
      <c r="J103" s="496">
        <f t="shared" si="35"/>
        <v>0</v>
      </c>
      <c r="K103" s="496">
        <f t="shared" si="35"/>
        <v>0</v>
      </c>
      <c r="L103" s="496">
        <f t="shared" si="35"/>
        <v>0</v>
      </c>
      <c r="M103" s="496">
        <f t="shared" si="35"/>
        <v>0</v>
      </c>
      <c r="N103" s="497"/>
      <c r="O103" s="497"/>
      <c r="P103" s="497"/>
      <c r="Q103" s="498"/>
      <c r="R103" s="498">
        <f t="shared" si="22"/>
        <v>0</v>
      </c>
      <c r="S103" s="498">
        <f t="shared" si="23"/>
        <v>0</v>
      </c>
      <c r="T103" s="498">
        <f t="shared" si="24"/>
        <v>0</v>
      </c>
      <c r="U103" s="499"/>
    </row>
    <row r="104" spans="2:21" s="500" customFormat="1" ht="15">
      <c r="B104" s="511"/>
      <c r="C104" s="522"/>
      <c r="D104" s="521"/>
      <c r="E104" s="510"/>
      <c r="F104" s="497"/>
      <c r="G104" s="505"/>
      <c r="H104" s="510"/>
      <c r="I104" s="497"/>
      <c r="J104" s="497"/>
      <c r="K104" s="497"/>
      <c r="L104" s="497"/>
      <c r="M104" s="497"/>
      <c r="N104" s="497"/>
      <c r="O104" s="497"/>
      <c r="P104" s="497"/>
      <c r="Q104" s="498"/>
      <c r="R104" s="498"/>
      <c r="S104" s="498"/>
      <c r="T104" s="498"/>
      <c r="U104" s="499"/>
    </row>
    <row r="105" spans="2:21" s="500" customFormat="1" ht="15">
      <c r="B105" s="511">
        <v>2.6</v>
      </c>
      <c r="C105" s="508" t="s">
        <v>275</v>
      </c>
      <c r="D105" s="521"/>
      <c r="E105" s="510"/>
      <c r="F105" s="497"/>
      <c r="G105" s="505">
        <f t="shared" si="34"/>
        <v>0</v>
      </c>
      <c r="H105" s="510"/>
      <c r="I105" s="497"/>
      <c r="J105" s="497"/>
      <c r="K105" s="497"/>
      <c r="L105" s="497"/>
      <c r="M105" s="497"/>
      <c r="N105" s="497"/>
      <c r="O105" s="497"/>
      <c r="P105" s="497"/>
      <c r="Q105" s="498"/>
      <c r="R105" s="498">
        <f t="shared" si="22"/>
        <v>0</v>
      </c>
      <c r="S105" s="498">
        <f t="shared" si="23"/>
        <v>0</v>
      </c>
      <c r="T105" s="498">
        <f t="shared" si="24"/>
        <v>0</v>
      </c>
      <c r="U105" s="499"/>
    </row>
    <row r="106" spans="2:21" ht="15">
      <c r="B106" s="430" t="s">
        <v>276</v>
      </c>
      <c r="C106" s="506" t="s">
        <v>277</v>
      </c>
      <c r="D106" s="519"/>
      <c r="E106" s="504"/>
      <c r="F106" s="497"/>
      <c r="G106" s="505">
        <f t="shared" si="34"/>
        <v>0</v>
      </c>
      <c r="H106" s="504"/>
      <c r="I106" s="505"/>
      <c r="J106" s="505"/>
      <c r="K106" s="505"/>
      <c r="L106" s="505"/>
      <c r="M106" s="505"/>
      <c r="N106" s="505"/>
      <c r="O106" s="505"/>
      <c r="P106" s="505"/>
      <c r="Q106" s="498"/>
      <c r="R106" s="498">
        <f t="shared" si="22"/>
        <v>0</v>
      </c>
      <c r="S106" s="498">
        <f t="shared" si="23"/>
        <v>0</v>
      </c>
      <c r="T106" s="498">
        <f t="shared" si="24"/>
        <v>0</v>
      </c>
      <c r="U106" s="502"/>
    </row>
    <row r="107" spans="2:21" ht="15">
      <c r="B107" s="430" t="s">
        <v>278</v>
      </c>
      <c r="C107" s="506" t="s">
        <v>279</v>
      </c>
      <c r="D107" s="519"/>
      <c r="E107" s="504"/>
      <c r="F107" s="497"/>
      <c r="G107" s="505">
        <f t="shared" si="34"/>
        <v>0</v>
      </c>
      <c r="H107" s="504"/>
      <c r="I107" s="505"/>
      <c r="J107" s="505"/>
      <c r="K107" s="505"/>
      <c r="L107" s="505"/>
      <c r="M107" s="505"/>
      <c r="N107" s="505"/>
      <c r="O107" s="505"/>
      <c r="P107" s="505"/>
      <c r="Q107" s="498"/>
      <c r="R107" s="498">
        <f t="shared" si="22"/>
        <v>0</v>
      </c>
      <c r="S107" s="498">
        <f t="shared" si="23"/>
        <v>0</v>
      </c>
      <c r="T107" s="498">
        <f t="shared" si="24"/>
        <v>0</v>
      </c>
      <c r="U107" s="502"/>
    </row>
    <row r="108" spans="2:21" s="500" customFormat="1" ht="15">
      <c r="B108" s="511" t="s">
        <v>350</v>
      </c>
      <c r="C108" s="508" t="s">
        <v>280</v>
      </c>
      <c r="D108" s="521"/>
      <c r="E108" s="495">
        <f>SUM(E106:E107)</f>
        <v>0</v>
      </c>
      <c r="F108" s="496">
        <f>SUM(F106:F107)</f>
        <v>0</v>
      </c>
      <c r="G108" s="496">
        <f t="shared" ref="G108:M108" si="36">SUM(G106:G107)</f>
        <v>0</v>
      </c>
      <c r="H108" s="495">
        <f t="shared" si="36"/>
        <v>0</v>
      </c>
      <c r="I108" s="496">
        <f t="shared" si="36"/>
        <v>0</v>
      </c>
      <c r="J108" s="496">
        <f t="shared" si="36"/>
        <v>0</v>
      </c>
      <c r="K108" s="496">
        <f t="shared" si="36"/>
        <v>0</v>
      </c>
      <c r="L108" s="496">
        <f t="shared" si="36"/>
        <v>0</v>
      </c>
      <c r="M108" s="496">
        <f t="shared" si="36"/>
        <v>0</v>
      </c>
      <c r="N108" s="497"/>
      <c r="O108" s="497"/>
      <c r="P108" s="497"/>
      <c r="Q108" s="498"/>
      <c r="R108" s="498">
        <f t="shared" si="22"/>
        <v>0</v>
      </c>
      <c r="S108" s="498">
        <f t="shared" si="23"/>
        <v>0</v>
      </c>
      <c r="T108" s="498">
        <f t="shared" si="24"/>
        <v>0</v>
      </c>
      <c r="U108" s="499"/>
    </row>
    <row r="109" spans="2:21" s="500" customFormat="1" ht="15">
      <c r="B109" s="511" t="s">
        <v>351</v>
      </c>
      <c r="C109" s="508" t="s">
        <v>281</v>
      </c>
      <c r="D109" s="521"/>
      <c r="E109" s="510"/>
      <c r="F109" s="497"/>
      <c r="G109" s="505">
        <f t="shared" si="34"/>
        <v>0</v>
      </c>
      <c r="H109" s="510"/>
      <c r="I109" s="497"/>
      <c r="J109" s="497"/>
      <c r="K109" s="497"/>
      <c r="L109" s="497"/>
      <c r="M109" s="497"/>
      <c r="N109" s="497"/>
      <c r="O109" s="497"/>
      <c r="P109" s="497"/>
      <c r="Q109" s="498"/>
      <c r="R109" s="498">
        <f t="shared" si="22"/>
        <v>0</v>
      </c>
      <c r="S109" s="498">
        <f t="shared" si="23"/>
        <v>0</v>
      </c>
      <c r="T109" s="498">
        <f t="shared" si="24"/>
        <v>0</v>
      </c>
      <c r="U109" s="499"/>
    </row>
    <row r="110" spans="2:21" s="500" customFormat="1" ht="15">
      <c r="B110" s="511"/>
      <c r="C110" s="508"/>
      <c r="D110" s="499"/>
      <c r="E110" s="523"/>
      <c r="F110" s="497"/>
      <c r="G110" s="505"/>
      <c r="H110" s="523"/>
      <c r="I110" s="499"/>
      <c r="J110" s="499"/>
      <c r="K110" s="499"/>
      <c r="L110" s="499"/>
      <c r="M110" s="499"/>
      <c r="N110" s="499"/>
      <c r="O110" s="499"/>
      <c r="P110" s="499"/>
      <c r="Q110" s="498"/>
      <c r="R110" s="498"/>
      <c r="S110" s="498"/>
      <c r="T110" s="498"/>
      <c r="U110" s="499"/>
    </row>
    <row r="111" spans="2:21" s="500" customFormat="1" ht="15">
      <c r="B111" s="524" t="s">
        <v>1052</v>
      </c>
      <c r="C111" s="508" t="s">
        <v>1053</v>
      </c>
      <c r="D111" s="499"/>
      <c r="E111" s="523"/>
      <c r="F111" s="113">
        <v>34.13772091610393</v>
      </c>
      <c r="G111" s="505">
        <f t="shared" si="34"/>
        <v>34.13772091610393</v>
      </c>
      <c r="H111" s="523"/>
      <c r="I111" s="113">
        <v>6.0852599999999999</v>
      </c>
      <c r="J111" s="505">
        <f t="shared" ref="J111" si="37">H111+I111</f>
        <v>6.0852599999999999</v>
      </c>
      <c r="K111" s="499"/>
      <c r="L111" s="499"/>
      <c r="M111" s="499"/>
      <c r="N111" s="499"/>
      <c r="O111" s="499"/>
      <c r="P111" s="499"/>
      <c r="Q111" s="498"/>
      <c r="R111" s="498">
        <f t="shared" si="22"/>
        <v>6.0852599999999999</v>
      </c>
      <c r="S111" s="498">
        <f t="shared" si="23"/>
        <v>6.0852599999999999</v>
      </c>
      <c r="T111" s="498">
        <f t="shared" si="24"/>
        <v>-28.052460916103932</v>
      </c>
      <c r="U111" s="499"/>
    </row>
    <row r="112" spans="2:21" s="500" customFormat="1" ht="15">
      <c r="B112" s="499"/>
      <c r="C112" s="499"/>
      <c r="D112" s="499"/>
      <c r="E112" s="523"/>
      <c r="F112" s="497"/>
      <c r="G112" s="505">
        <f t="shared" si="34"/>
        <v>0</v>
      </c>
      <c r="H112" s="523"/>
      <c r="I112" s="499"/>
      <c r="J112" s="499"/>
      <c r="K112" s="499"/>
      <c r="L112" s="499"/>
      <c r="M112" s="499"/>
      <c r="N112" s="499"/>
      <c r="O112" s="499"/>
      <c r="P112" s="499"/>
      <c r="Q112" s="498"/>
      <c r="R112" s="498">
        <f t="shared" si="22"/>
        <v>0</v>
      </c>
      <c r="S112" s="498">
        <f t="shared" si="23"/>
        <v>0</v>
      </c>
      <c r="T112" s="498">
        <f t="shared" si="24"/>
        <v>0</v>
      </c>
      <c r="U112" s="499"/>
    </row>
    <row r="113" spans="2:21" s="500" customFormat="1" ht="15">
      <c r="B113" s="511">
        <v>4</v>
      </c>
      <c r="C113" s="508" t="s">
        <v>76</v>
      </c>
      <c r="D113" s="499"/>
      <c r="E113" s="525">
        <f>E131</f>
        <v>0</v>
      </c>
      <c r="F113" s="526">
        <f>F131</f>
        <v>3655.8137435150034</v>
      </c>
      <c r="G113" s="526">
        <f t="shared" ref="G113:M113" si="38">G131</f>
        <v>3655.8137435150034</v>
      </c>
      <c r="H113" s="525">
        <f t="shared" si="38"/>
        <v>0</v>
      </c>
      <c r="I113" s="526">
        <f t="shared" si="38"/>
        <v>3484.2532229399999</v>
      </c>
      <c r="J113" s="526">
        <f t="shared" si="38"/>
        <v>3484.2532229399999</v>
      </c>
      <c r="K113" s="526">
        <f t="shared" si="38"/>
        <v>0</v>
      </c>
      <c r="L113" s="526">
        <f t="shared" si="38"/>
        <v>0</v>
      </c>
      <c r="M113" s="526">
        <f t="shared" si="38"/>
        <v>0</v>
      </c>
      <c r="N113" s="499"/>
      <c r="O113" s="499"/>
      <c r="P113" s="499"/>
      <c r="Q113" s="498"/>
      <c r="R113" s="498">
        <f t="shared" si="22"/>
        <v>3484.2532229399999</v>
      </c>
      <c r="S113" s="498">
        <f t="shared" si="23"/>
        <v>3484.2532229399999</v>
      </c>
      <c r="T113" s="498">
        <f t="shared" si="24"/>
        <v>-171.56052057500347</v>
      </c>
      <c r="U113" s="499"/>
    </row>
    <row r="114" spans="2:21" ht="15">
      <c r="B114" s="430">
        <v>4.0999999999999996</v>
      </c>
      <c r="C114" s="506" t="s">
        <v>282</v>
      </c>
      <c r="D114" s="499"/>
      <c r="E114" s="523"/>
      <c r="F114" s="113">
        <v>191.04692101299997</v>
      </c>
      <c r="G114" s="505">
        <f t="shared" si="34"/>
        <v>191.04692101299997</v>
      </c>
      <c r="H114" s="523"/>
      <c r="I114" s="101">
        <v>182.23046696199998</v>
      </c>
      <c r="J114" s="505">
        <f t="shared" ref="J114" si="39">H114+I114</f>
        <v>182.23046696199998</v>
      </c>
      <c r="K114" s="499"/>
      <c r="L114" s="499"/>
      <c r="M114" s="499"/>
      <c r="N114" s="499"/>
      <c r="O114" s="499"/>
      <c r="P114" s="499"/>
      <c r="Q114" s="498"/>
      <c r="R114" s="498">
        <f t="shared" si="22"/>
        <v>182.23046696199998</v>
      </c>
      <c r="S114" s="498">
        <f t="shared" si="23"/>
        <v>182.23046696199998</v>
      </c>
      <c r="T114" s="498">
        <f t="shared" si="24"/>
        <v>-8.8164540509999938</v>
      </c>
      <c r="U114" s="499"/>
    </row>
    <row r="115" spans="2:21">
      <c r="B115" s="430">
        <v>4.2</v>
      </c>
      <c r="C115" s="506" t="s">
        <v>283</v>
      </c>
      <c r="D115" s="519"/>
      <c r="E115" s="504"/>
      <c r="F115" s="113">
        <v>0</v>
      </c>
      <c r="G115" s="505">
        <f t="shared" si="34"/>
        <v>0</v>
      </c>
      <c r="H115" s="504"/>
      <c r="I115" s="101">
        <v>0</v>
      </c>
      <c r="J115" s="505"/>
      <c r="K115" s="505"/>
      <c r="L115" s="505"/>
      <c r="M115" s="505"/>
      <c r="N115" s="505"/>
      <c r="O115" s="505"/>
      <c r="P115" s="505"/>
      <c r="Q115" s="498"/>
      <c r="R115" s="498">
        <f t="shared" si="22"/>
        <v>0</v>
      </c>
      <c r="S115" s="498">
        <f t="shared" si="23"/>
        <v>0</v>
      </c>
      <c r="T115" s="498">
        <f t="shared" si="24"/>
        <v>0</v>
      </c>
      <c r="U115" s="502"/>
    </row>
    <row r="116" spans="2:21">
      <c r="B116" s="430">
        <v>4.3</v>
      </c>
      <c r="C116" s="512" t="s">
        <v>284</v>
      </c>
      <c r="D116" s="519"/>
      <c r="E116" s="504"/>
      <c r="F116" s="113">
        <v>94.4</v>
      </c>
      <c r="G116" s="505">
        <f t="shared" si="34"/>
        <v>94.4</v>
      </c>
      <c r="H116" s="504"/>
      <c r="I116" s="101">
        <v>86.209856000000002</v>
      </c>
      <c r="J116" s="505">
        <f t="shared" ref="J116" si="40">H116+I116</f>
        <v>86.209856000000002</v>
      </c>
      <c r="K116" s="505"/>
      <c r="L116" s="505"/>
      <c r="M116" s="505"/>
      <c r="N116" s="505"/>
      <c r="O116" s="505"/>
      <c r="P116" s="505"/>
      <c r="Q116" s="498"/>
      <c r="R116" s="498">
        <f t="shared" si="22"/>
        <v>86.209856000000002</v>
      </c>
      <c r="S116" s="498">
        <f t="shared" si="23"/>
        <v>86.209856000000002</v>
      </c>
      <c r="T116" s="498">
        <f t="shared" si="24"/>
        <v>-8.1901440000000036</v>
      </c>
      <c r="U116" s="502"/>
    </row>
    <row r="117" spans="2:21">
      <c r="B117" s="430">
        <v>4.4000000000000004</v>
      </c>
      <c r="C117" s="512" t="s">
        <v>285</v>
      </c>
      <c r="D117" s="519"/>
      <c r="E117" s="504"/>
      <c r="F117" s="113">
        <v>0</v>
      </c>
      <c r="G117" s="505">
        <f t="shared" si="34"/>
        <v>0</v>
      </c>
      <c r="H117" s="504"/>
      <c r="I117" s="101">
        <v>0</v>
      </c>
      <c r="J117" s="505"/>
      <c r="K117" s="505"/>
      <c r="L117" s="505"/>
      <c r="M117" s="505"/>
      <c r="N117" s="505"/>
      <c r="O117" s="505"/>
      <c r="P117" s="505"/>
      <c r="Q117" s="498"/>
      <c r="R117" s="498">
        <f t="shared" si="22"/>
        <v>0</v>
      </c>
      <c r="S117" s="498">
        <f t="shared" si="23"/>
        <v>0</v>
      </c>
      <c r="T117" s="498">
        <f t="shared" si="24"/>
        <v>0</v>
      </c>
      <c r="U117" s="502"/>
    </row>
    <row r="118" spans="2:21">
      <c r="B118" s="430">
        <v>4.5</v>
      </c>
      <c r="C118" s="512" t="s">
        <v>286</v>
      </c>
      <c r="D118" s="519"/>
      <c r="E118" s="504"/>
      <c r="F118" s="113">
        <v>0</v>
      </c>
      <c r="G118" s="505">
        <f t="shared" si="34"/>
        <v>0</v>
      </c>
      <c r="H118" s="504"/>
      <c r="I118" s="101">
        <v>0</v>
      </c>
      <c r="J118" s="505"/>
      <c r="K118" s="505"/>
      <c r="L118" s="505"/>
      <c r="M118" s="505"/>
      <c r="N118" s="505"/>
      <c r="O118" s="505"/>
      <c r="P118" s="505"/>
      <c r="Q118" s="498"/>
      <c r="R118" s="498">
        <f t="shared" si="22"/>
        <v>0</v>
      </c>
      <c r="S118" s="498">
        <f t="shared" si="23"/>
        <v>0</v>
      </c>
      <c r="T118" s="498">
        <f t="shared" si="24"/>
        <v>0</v>
      </c>
      <c r="U118" s="502"/>
    </row>
    <row r="119" spans="2:21">
      <c r="B119" s="430">
        <v>4.5999999999999996</v>
      </c>
      <c r="C119" s="512" t="s">
        <v>287</v>
      </c>
      <c r="D119" s="519"/>
      <c r="E119" s="504"/>
      <c r="F119" s="113">
        <v>394.92674648499997</v>
      </c>
      <c r="G119" s="505">
        <f t="shared" si="34"/>
        <v>394.92674648499997</v>
      </c>
      <c r="H119" s="504"/>
      <c r="I119" s="101">
        <v>394.92674648499997</v>
      </c>
      <c r="J119" s="505">
        <f t="shared" ref="J119" si="41">H119+I119</f>
        <v>394.92674648499997</v>
      </c>
      <c r="K119" s="505"/>
      <c r="L119" s="505"/>
      <c r="M119" s="505"/>
      <c r="N119" s="505"/>
      <c r="O119" s="505"/>
      <c r="P119" s="505"/>
      <c r="Q119" s="498"/>
      <c r="R119" s="498">
        <f t="shared" si="22"/>
        <v>394.92674648499997</v>
      </c>
      <c r="S119" s="498">
        <f t="shared" si="23"/>
        <v>394.92674648499997</v>
      </c>
      <c r="T119" s="498">
        <f t="shared" si="24"/>
        <v>0</v>
      </c>
      <c r="U119" s="502"/>
    </row>
    <row r="120" spans="2:21">
      <c r="B120" s="430">
        <v>4.7</v>
      </c>
      <c r="C120" s="512" t="s">
        <v>288</v>
      </c>
      <c r="D120" s="519"/>
      <c r="E120" s="504"/>
      <c r="F120" s="113">
        <v>0</v>
      </c>
      <c r="G120" s="505">
        <f t="shared" si="34"/>
        <v>0</v>
      </c>
      <c r="H120" s="504"/>
      <c r="I120" s="101">
        <v>0</v>
      </c>
      <c r="J120" s="505"/>
      <c r="K120" s="505"/>
      <c r="L120" s="505"/>
      <c r="M120" s="505"/>
      <c r="N120" s="505"/>
      <c r="O120" s="505"/>
      <c r="P120" s="505"/>
      <c r="Q120" s="498"/>
      <c r="R120" s="498">
        <f t="shared" si="22"/>
        <v>0</v>
      </c>
      <c r="S120" s="498">
        <f t="shared" si="23"/>
        <v>0</v>
      </c>
      <c r="T120" s="498">
        <f t="shared" si="24"/>
        <v>0</v>
      </c>
      <c r="U120" s="502"/>
    </row>
    <row r="121" spans="2:21">
      <c r="B121" s="430">
        <v>4.8</v>
      </c>
      <c r="C121" s="506" t="s">
        <v>289</v>
      </c>
      <c r="D121" s="519"/>
      <c r="E121" s="504"/>
      <c r="F121" s="113">
        <v>1953.7097678230041</v>
      </c>
      <c r="G121" s="505">
        <f t="shared" si="34"/>
        <v>1953.7097678230041</v>
      </c>
      <c r="H121" s="504"/>
      <c r="I121" s="101">
        <v>1802.5299723599999</v>
      </c>
      <c r="J121" s="505">
        <f t="shared" ref="J121:J123" si="42">H121+I121</f>
        <v>1802.5299723599999</v>
      </c>
      <c r="K121" s="505"/>
      <c r="L121" s="505"/>
      <c r="M121" s="505"/>
      <c r="N121" s="505"/>
      <c r="O121" s="505"/>
      <c r="P121" s="505"/>
      <c r="Q121" s="498"/>
      <c r="R121" s="498">
        <f t="shared" si="22"/>
        <v>1802.5299723599999</v>
      </c>
      <c r="S121" s="498">
        <f t="shared" si="23"/>
        <v>1802.5299723599999</v>
      </c>
      <c r="T121" s="498">
        <f t="shared" si="24"/>
        <v>-151.17979546300421</v>
      </c>
      <c r="U121" s="502"/>
    </row>
    <row r="122" spans="2:21">
      <c r="B122" s="430">
        <v>4.9000000000000004</v>
      </c>
      <c r="C122" s="506" t="s">
        <v>290</v>
      </c>
      <c r="D122" s="519"/>
      <c r="E122" s="504"/>
      <c r="F122" s="113">
        <v>413.80111322899864</v>
      </c>
      <c r="G122" s="505">
        <f t="shared" si="34"/>
        <v>413.80111322899864</v>
      </c>
      <c r="H122" s="504"/>
      <c r="I122" s="101">
        <v>412.65623914299999</v>
      </c>
      <c r="J122" s="505">
        <f t="shared" si="42"/>
        <v>412.65623914299999</v>
      </c>
      <c r="K122" s="505"/>
      <c r="L122" s="505"/>
      <c r="M122" s="505"/>
      <c r="N122" s="505"/>
      <c r="O122" s="505"/>
      <c r="P122" s="505"/>
      <c r="Q122" s="498"/>
      <c r="R122" s="498">
        <f t="shared" si="22"/>
        <v>412.65623914299999</v>
      </c>
      <c r="S122" s="498">
        <f t="shared" si="23"/>
        <v>412.65623914299999</v>
      </c>
      <c r="T122" s="498">
        <f t="shared" si="24"/>
        <v>-1.1448740859986515</v>
      </c>
      <c r="U122" s="502"/>
    </row>
    <row r="123" spans="2:21">
      <c r="B123" s="527" t="s">
        <v>1054</v>
      </c>
      <c r="C123" s="506" t="s">
        <v>291</v>
      </c>
      <c r="D123" s="519"/>
      <c r="E123" s="504"/>
      <c r="F123" s="113">
        <v>101.02566277400005</v>
      </c>
      <c r="G123" s="505">
        <f t="shared" si="34"/>
        <v>101.02566277400005</v>
      </c>
      <c r="H123" s="504"/>
      <c r="I123" s="101">
        <v>101.025662774</v>
      </c>
      <c r="J123" s="505">
        <f t="shared" si="42"/>
        <v>101.025662774</v>
      </c>
      <c r="K123" s="505"/>
      <c r="L123" s="505"/>
      <c r="M123" s="505"/>
      <c r="N123" s="505"/>
      <c r="O123" s="505"/>
      <c r="P123" s="505"/>
      <c r="Q123" s="498"/>
      <c r="R123" s="498">
        <f t="shared" si="22"/>
        <v>101.025662774</v>
      </c>
      <c r="S123" s="498">
        <f t="shared" si="23"/>
        <v>101.025662774</v>
      </c>
      <c r="T123" s="498">
        <f t="shared" si="24"/>
        <v>0</v>
      </c>
      <c r="U123" s="502"/>
    </row>
    <row r="124" spans="2:21">
      <c r="B124" s="430">
        <v>4.1100000000000003</v>
      </c>
      <c r="C124" s="506" t="s">
        <v>292</v>
      </c>
      <c r="D124" s="519"/>
      <c r="E124" s="504"/>
      <c r="F124" s="113">
        <v>0</v>
      </c>
      <c r="G124" s="505">
        <f t="shared" si="34"/>
        <v>0</v>
      </c>
      <c r="H124" s="504"/>
      <c r="I124" s="101">
        <v>0</v>
      </c>
      <c r="J124" s="505"/>
      <c r="K124" s="505"/>
      <c r="L124" s="505"/>
      <c r="M124" s="505"/>
      <c r="N124" s="505"/>
      <c r="O124" s="505"/>
      <c r="P124" s="505"/>
      <c r="Q124" s="498"/>
      <c r="R124" s="498">
        <f t="shared" si="22"/>
        <v>0</v>
      </c>
      <c r="S124" s="498">
        <f t="shared" si="23"/>
        <v>0</v>
      </c>
      <c r="T124" s="498">
        <f t="shared" si="24"/>
        <v>0</v>
      </c>
      <c r="U124" s="502"/>
    </row>
    <row r="125" spans="2:21">
      <c r="B125" s="430">
        <v>4.12</v>
      </c>
      <c r="C125" s="512" t="s">
        <v>293</v>
      </c>
      <c r="D125" s="519"/>
      <c r="E125" s="504"/>
      <c r="F125" s="113">
        <v>0</v>
      </c>
      <c r="G125" s="505">
        <f t="shared" si="34"/>
        <v>0</v>
      </c>
      <c r="H125" s="504"/>
      <c r="I125" s="101">
        <v>0</v>
      </c>
      <c r="J125" s="505"/>
      <c r="K125" s="505"/>
      <c r="L125" s="505"/>
      <c r="M125" s="505"/>
      <c r="N125" s="505"/>
      <c r="O125" s="505"/>
      <c r="P125" s="505"/>
      <c r="Q125" s="498"/>
      <c r="R125" s="498">
        <f t="shared" si="22"/>
        <v>0</v>
      </c>
      <c r="S125" s="498">
        <f t="shared" si="23"/>
        <v>0</v>
      </c>
      <c r="T125" s="498">
        <f t="shared" si="24"/>
        <v>0</v>
      </c>
      <c r="U125" s="502"/>
    </row>
    <row r="126" spans="2:21">
      <c r="B126" s="430">
        <v>4.13</v>
      </c>
      <c r="C126" s="506" t="s">
        <v>294</v>
      </c>
      <c r="D126" s="519"/>
      <c r="E126" s="504"/>
      <c r="F126" s="113">
        <v>13.635870057999993</v>
      </c>
      <c r="G126" s="505">
        <f t="shared" si="34"/>
        <v>13.635870057999993</v>
      </c>
      <c r="H126" s="504"/>
      <c r="I126" s="101">
        <v>13.635870058000002</v>
      </c>
      <c r="J126" s="505">
        <f t="shared" ref="J126:J130" si="43">H126+I126</f>
        <v>13.635870058000002</v>
      </c>
      <c r="K126" s="505"/>
      <c r="L126" s="505"/>
      <c r="M126" s="505"/>
      <c r="N126" s="505"/>
      <c r="O126" s="505"/>
      <c r="P126" s="505"/>
      <c r="Q126" s="498"/>
      <c r="R126" s="498">
        <f t="shared" si="22"/>
        <v>13.635870058000002</v>
      </c>
      <c r="S126" s="498">
        <f t="shared" si="23"/>
        <v>13.635870058000002</v>
      </c>
      <c r="T126" s="498">
        <f t="shared" si="24"/>
        <v>0</v>
      </c>
      <c r="U126" s="502"/>
    </row>
    <row r="127" spans="2:21">
      <c r="B127" s="430">
        <v>4.1399999999999997</v>
      </c>
      <c r="C127" s="506" t="s">
        <v>295</v>
      </c>
      <c r="D127" s="519"/>
      <c r="E127" s="504"/>
      <c r="F127" s="113">
        <v>69.525612929000033</v>
      </c>
      <c r="G127" s="505">
        <f t="shared" si="34"/>
        <v>69.525612929000033</v>
      </c>
      <c r="H127" s="504"/>
      <c r="I127" s="101">
        <v>69.52561292899999</v>
      </c>
      <c r="J127" s="505">
        <f t="shared" si="43"/>
        <v>69.52561292899999</v>
      </c>
      <c r="K127" s="505"/>
      <c r="L127" s="505"/>
      <c r="M127" s="505"/>
      <c r="N127" s="505"/>
      <c r="O127" s="505"/>
      <c r="P127" s="505"/>
      <c r="Q127" s="498"/>
      <c r="R127" s="498">
        <f t="shared" si="22"/>
        <v>69.52561292899999</v>
      </c>
      <c r="S127" s="498">
        <f t="shared" si="23"/>
        <v>69.52561292899999</v>
      </c>
      <c r="T127" s="498">
        <f t="shared" si="24"/>
        <v>0</v>
      </c>
      <c r="U127" s="502"/>
    </row>
    <row r="128" spans="2:21">
      <c r="B128" s="430">
        <v>4.1500000000000004</v>
      </c>
      <c r="C128" s="506" t="s">
        <v>296</v>
      </c>
      <c r="D128" s="519"/>
      <c r="E128" s="504"/>
      <c r="F128" s="113">
        <v>354.68570756200114</v>
      </c>
      <c r="G128" s="505">
        <f t="shared" si="34"/>
        <v>354.68570756200114</v>
      </c>
      <c r="H128" s="504"/>
      <c r="I128" s="101">
        <v>354.68570756200006</v>
      </c>
      <c r="J128" s="505">
        <f t="shared" si="43"/>
        <v>354.68570756200006</v>
      </c>
      <c r="K128" s="505"/>
      <c r="L128" s="505"/>
      <c r="M128" s="505"/>
      <c r="N128" s="505"/>
      <c r="O128" s="505"/>
      <c r="P128" s="505"/>
      <c r="Q128" s="498"/>
      <c r="R128" s="498">
        <f t="shared" si="22"/>
        <v>354.68570756200006</v>
      </c>
      <c r="S128" s="498">
        <f t="shared" si="23"/>
        <v>354.68570756200006</v>
      </c>
      <c r="T128" s="498">
        <f t="shared" si="24"/>
        <v>-1.0800249583553523E-12</v>
      </c>
      <c r="U128" s="502"/>
    </row>
    <row r="129" spans="2:21">
      <c r="B129" s="430">
        <v>4.16</v>
      </c>
      <c r="C129" s="506" t="s">
        <v>297</v>
      </c>
      <c r="D129" s="519"/>
      <c r="E129" s="504"/>
      <c r="F129" s="113">
        <v>57.539216639999999</v>
      </c>
      <c r="G129" s="505">
        <f t="shared" si="34"/>
        <v>57.539216639999999</v>
      </c>
      <c r="H129" s="504"/>
      <c r="I129" s="101">
        <v>55.932000000000002</v>
      </c>
      <c r="J129" s="505">
        <f t="shared" si="43"/>
        <v>55.932000000000002</v>
      </c>
      <c r="K129" s="505"/>
      <c r="L129" s="505"/>
      <c r="M129" s="505"/>
      <c r="N129" s="505"/>
      <c r="O129" s="505"/>
      <c r="P129" s="505"/>
      <c r="Q129" s="498"/>
      <c r="R129" s="498">
        <f t="shared" si="22"/>
        <v>55.932000000000002</v>
      </c>
      <c r="S129" s="498">
        <f t="shared" si="23"/>
        <v>55.932000000000002</v>
      </c>
      <c r="T129" s="498">
        <f t="shared" si="24"/>
        <v>-1.6072166399999972</v>
      </c>
      <c r="U129" s="502"/>
    </row>
    <row r="130" spans="2:21">
      <c r="B130" s="430">
        <v>4.17</v>
      </c>
      <c r="C130" s="506" t="s">
        <v>74</v>
      </c>
      <c r="D130" s="519"/>
      <c r="E130" s="504"/>
      <c r="F130" s="113">
        <v>11.517125002</v>
      </c>
      <c r="G130" s="505">
        <f t="shared" si="34"/>
        <v>11.517125002</v>
      </c>
      <c r="H130" s="504"/>
      <c r="I130" s="101">
        <v>10.895088667</v>
      </c>
      <c r="J130" s="505">
        <f t="shared" si="43"/>
        <v>10.895088667</v>
      </c>
      <c r="K130" s="505"/>
      <c r="L130" s="505"/>
      <c r="M130" s="505"/>
      <c r="N130" s="505"/>
      <c r="O130" s="505"/>
      <c r="P130" s="505"/>
      <c r="Q130" s="498"/>
      <c r="R130" s="498">
        <f t="shared" si="22"/>
        <v>10.895088667</v>
      </c>
      <c r="S130" s="498">
        <f t="shared" si="23"/>
        <v>10.895088667</v>
      </c>
      <c r="T130" s="498">
        <f t="shared" si="24"/>
        <v>-0.62203633500000066</v>
      </c>
      <c r="U130" s="502"/>
    </row>
    <row r="131" spans="2:21" s="500" customFormat="1" ht="15">
      <c r="B131" s="511"/>
      <c r="C131" s="508" t="s">
        <v>298</v>
      </c>
      <c r="D131" s="521"/>
      <c r="E131" s="495">
        <f>SUM(E114:E130)</f>
        <v>0</v>
      </c>
      <c r="F131" s="496">
        <f>SUM(F114:F130)</f>
        <v>3655.8137435150034</v>
      </c>
      <c r="G131" s="496">
        <f t="shared" ref="G131:M131" si="44">SUM(G114:G130)</f>
        <v>3655.8137435150034</v>
      </c>
      <c r="H131" s="495">
        <f t="shared" si="44"/>
        <v>0</v>
      </c>
      <c r="I131" s="496">
        <f t="shared" si="44"/>
        <v>3484.2532229399999</v>
      </c>
      <c r="J131" s="496">
        <f t="shared" si="44"/>
        <v>3484.2532229399999</v>
      </c>
      <c r="K131" s="496">
        <f t="shared" si="44"/>
        <v>0</v>
      </c>
      <c r="L131" s="496">
        <f t="shared" si="44"/>
        <v>0</v>
      </c>
      <c r="M131" s="496">
        <f t="shared" si="44"/>
        <v>0</v>
      </c>
      <c r="N131" s="497"/>
      <c r="O131" s="497"/>
      <c r="P131" s="497"/>
      <c r="Q131" s="498"/>
      <c r="R131" s="498">
        <f t="shared" si="22"/>
        <v>3484.2532229399999</v>
      </c>
      <c r="S131" s="498">
        <f t="shared" si="23"/>
        <v>3484.2532229399999</v>
      </c>
      <c r="T131" s="498">
        <f t="shared" si="24"/>
        <v>-171.56052057500347</v>
      </c>
      <c r="U131" s="499"/>
    </row>
    <row r="132" spans="2:21" ht="15">
      <c r="B132" s="430"/>
      <c r="C132" s="506"/>
      <c r="D132" s="519"/>
      <c r="E132" s="504"/>
      <c r="F132" s="497"/>
      <c r="G132" s="505"/>
      <c r="H132" s="504"/>
      <c r="I132" s="505"/>
      <c r="J132" s="505"/>
      <c r="K132" s="505"/>
      <c r="L132" s="505"/>
      <c r="M132" s="505"/>
      <c r="N132" s="505"/>
      <c r="O132" s="505"/>
      <c r="P132" s="505"/>
      <c r="Q132" s="498"/>
      <c r="R132" s="498">
        <f t="shared" si="22"/>
        <v>0</v>
      </c>
      <c r="S132" s="498">
        <f t="shared" si="23"/>
        <v>0</v>
      </c>
      <c r="T132" s="498">
        <f t="shared" si="24"/>
        <v>0</v>
      </c>
      <c r="U132" s="502"/>
    </row>
    <row r="133" spans="2:21" s="500" customFormat="1" ht="15">
      <c r="B133" s="511">
        <v>5</v>
      </c>
      <c r="C133" s="522" t="s">
        <v>1055</v>
      </c>
      <c r="D133" s="521"/>
      <c r="E133" s="495">
        <f>E140</f>
        <v>0</v>
      </c>
      <c r="F133" s="496">
        <f>F140</f>
        <v>66.642647050619999</v>
      </c>
      <c r="G133" s="496">
        <f t="shared" ref="G133:M133" si="45">G140</f>
        <v>66.642647050619999</v>
      </c>
      <c r="H133" s="495">
        <f t="shared" si="45"/>
        <v>0</v>
      </c>
      <c r="I133" s="496">
        <f t="shared" si="45"/>
        <v>65.446512138800003</v>
      </c>
      <c r="J133" s="496">
        <f t="shared" si="45"/>
        <v>65.446512138800003</v>
      </c>
      <c r="K133" s="496">
        <f t="shared" si="45"/>
        <v>0</v>
      </c>
      <c r="L133" s="496">
        <f t="shared" si="45"/>
        <v>0</v>
      </c>
      <c r="M133" s="496">
        <f t="shared" si="45"/>
        <v>0</v>
      </c>
      <c r="N133" s="497"/>
      <c r="O133" s="497"/>
      <c r="P133" s="497"/>
      <c r="Q133" s="498"/>
      <c r="R133" s="498">
        <f t="shared" si="22"/>
        <v>65.446512138800003</v>
      </c>
      <c r="S133" s="498">
        <f t="shared" si="23"/>
        <v>65.446512138800003</v>
      </c>
      <c r="T133" s="498">
        <f t="shared" si="24"/>
        <v>-1.1961349118199962</v>
      </c>
      <c r="U133" s="499"/>
    </row>
    <row r="134" spans="2:21" ht="15">
      <c r="B134" s="430">
        <v>5.0999999999999996</v>
      </c>
      <c r="C134" s="506" t="s">
        <v>299</v>
      </c>
      <c r="D134" s="519"/>
      <c r="E134" s="504"/>
      <c r="F134" s="497"/>
      <c r="G134" s="505">
        <f t="shared" si="34"/>
        <v>0</v>
      </c>
      <c r="H134" s="504"/>
      <c r="I134" s="505"/>
      <c r="J134" s="505"/>
      <c r="K134" s="505"/>
      <c r="L134" s="505"/>
      <c r="M134" s="505"/>
      <c r="N134" s="505"/>
      <c r="O134" s="505"/>
      <c r="P134" s="505"/>
      <c r="Q134" s="498"/>
      <c r="R134" s="498">
        <f t="shared" si="22"/>
        <v>0</v>
      </c>
      <c r="S134" s="498">
        <f t="shared" si="23"/>
        <v>0</v>
      </c>
      <c r="T134" s="498">
        <f t="shared" si="24"/>
        <v>0</v>
      </c>
      <c r="U134" s="502"/>
    </row>
    <row r="135" spans="2:21">
      <c r="B135" s="430">
        <v>5.2</v>
      </c>
      <c r="C135" s="506" t="s">
        <v>300</v>
      </c>
      <c r="D135" s="519"/>
      <c r="E135" s="504"/>
      <c r="F135" s="113">
        <v>15.174732632619998</v>
      </c>
      <c r="G135" s="505">
        <f t="shared" si="34"/>
        <v>15.174732632619998</v>
      </c>
      <c r="H135" s="504"/>
      <c r="I135" s="101">
        <v>13.978597720799998</v>
      </c>
      <c r="J135" s="505">
        <f t="shared" ref="J135" si="46">H135+I135</f>
        <v>13.978597720799998</v>
      </c>
      <c r="K135" s="505"/>
      <c r="L135" s="505"/>
      <c r="M135" s="505"/>
      <c r="N135" s="505"/>
      <c r="O135" s="505"/>
      <c r="P135" s="505"/>
      <c r="Q135" s="498"/>
      <c r="R135" s="498">
        <f t="shared" si="22"/>
        <v>13.978597720799998</v>
      </c>
      <c r="S135" s="498">
        <f t="shared" si="23"/>
        <v>13.978597720799998</v>
      </c>
      <c r="T135" s="498">
        <f t="shared" si="24"/>
        <v>-1.1961349118199998</v>
      </c>
      <c r="U135" s="502"/>
    </row>
    <row r="136" spans="2:21">
      <c r="B136" s="430">
        <v>5.3</v>
      </c>
      <c r="C136" s="506" t="s">
        <v>301</v>
      </c>
      <c r="D136" s="519"/>
      <c r="E136" s="504"/>
      <c r="F136" s="113">
        <v>0</v>
      </c>
      <c r="G136" s="505">
        <f t="shared" si="34"/>
        <v>0</v>
      </c>
      <c r="H136" s="504"/>
      <c r="I136" s="101">
        <v>0</v>
      </c>
      <c r="J136" s="505"/>
      <c r="K136" s="505"/>
      <c r="L136" s="505"/>
      <c r="M136" s="505"/>
      <c r="N136" s="505"/>
      <c r="O136" s="505"/>
      <c r="P136" s="505"/>
      <c r="Q136" s="498"/>
      <c r="R136" s="498">
        <f t="shared" si="22"/>
        <v>0</v>
      </c>
      <c r="S136" s="498">
        <f t="shared" si="23"/>
        <v>0</v>
      </c>
      <c r="T136" s="498">
        <f t="shared" si="24"/>
        <v>0</v>
      </c>
      <c r="U136" s="502"/>
    </row>
    <row r="137" spans="2:21">
      <c r="B137" s="430">
        <v>5.4</v>
      </c>
      <c r="C137" s="506" t="s">
        <v>302</v>
      </c>
      <c r="D137" s="519"/>
      <c r="E137" s="504"/>
      <c r="F137" s="113">
        <v>0</v>
      </c>
      <c r="G137" s="505">
        <f t="shared" si="34"/>
        <v>0</v>
      </c>
      <c r="H137" s="504"/>
      <c r="I137" s="101">
        <v>0</v>
      </c>
      <c r="J137" s="505"/>
      <c r="K137" s="505"/>
      <c r="L137" s="505"/>
      <c r="M137" s="505"/>
      <c r="N137" s="505"/>
      <c r="O137" s="505"/>
      <c r="P137" s="505"/>
      <c r="Q137" s="498"/>
      <c r="R137" s="498">
        <f t="shared" si="22"/>
        <v>0</v>
      </c>
      <c r="S137" s="498">
        <f t="shared" si="23"/>
        <v>0</v>
      </c>
      <c r="T137" s="498">
        <f t="shared" si="24"/>
        <v>0</v>
      </c>
      <c r="U137" s="502"/>
    </row>
    <row r="138" spans="2:21">
      <c r="B138" s="430">
        <v>5.5</v>
      </c>
      <c r="C138" s="506" t="s">
        <v>303</v>
      </c>
      <c r="D138" s="519"/>
      <c r="E138" s="504"/>
      <c r="F138" s="113">
        <v>0</v>
      </c>
      <c r="G138" s="505">
        <f t="shared" si="34"/>
        <v>0</v>
      </c>
      <c r="H138" s="504"/>
      <c r="I138" s="101">
        <v>0</v>
      </c>
      <c r="J138" s="505"/>
      <c r="K138" s="505"/>
      <c r="L138" s="505"/>
      <c r="M138" s="505"/>
      <c r="N138" s="505"/>
      <c r="O138" s="505"/>
      <c r="P138" s="505"/>
      <c r="Q138" s="498"/>
      <c r="R138" s="498">
        <f t="shared" ref="R138:R153" si="47">I138+L138</f>
        <v>0</v>
      </c>
      <c r="S138" s="498">
        <f t="shared" ref="S138:S153" si="48">Q138+R138</f>
        <v>0</v>
      </c>
      <c r="T138" s="498">
        <f t="shared" ref="T138:T153" si="49">S138-G138</f>
        <v>0</v>
      </c>
      <c r="U138" s="502"/>
    </row>
    <row r="139" spans="2:21">
      <c r="B139" s="430">
        <v>5.6</v>
      </c>
      <c r="C139" s="506" t="s">
        <v>304</v>
      </c>
      <c r="D139" s="519"/>
      <c r="E139" s="504"/>
      <c r="F139" s="113">
        <v>51.467914417999999</v>
      </c>
      <c r="G139" s="505">
        <f t="shared" si="34"/>
        <v>51.467914417999999</v>
      </c>
      <c r="H139" s="504"/>
      <c r="I139" s="101">
        <v>51.467914417999999</v>
      </c>
      <c r="J139" s="505">
        <f t="shared" ref="J139" si="50">H139+I139</f>
        <v>51.467914417999999</v>
      </c>
      <c r="K139" s="505"/>
      <c r="L139" s="505"/>
      <c r="M139" s="505"/>
      <c r="N139" s="505"/>
      <c r="O139" s="505"/>
      <c r="P139" s="505"/>
      <c r="Q139" s="498"/>
      <c r="R139" s="498">
        <f t="shared" si="47"/>
        <v>51.467914417999999</v>
      </c>
      <c r="S139" s="498">
        <f t="shared" si="48"/>
        <v>51.467914417999999</v>
      </c>
      <c r="T139" s="498">
        <f t="shared" si="49"/>
        <v>0</v>
      </c>
      <c r="U139" s="502"/>
    </row>
    <row r="140" spans="2:21" s="500" customFormat="1" ht="15">
      <c r="B140" s="511">
        <v>5.7</v>
      </c>
      <c r="C140" s="522" t="s">
        <v>305</v>
      </c>
      <c r="D140" s="521"/>
      <c r="E140" s="495">
        <f>SUM(E134:E139)</f>
        <v>0</v>
      </c>
      <c r="F140" s="496">
        <f>SUM(F134:F139)</f>
        <v>66.642647050619999</v>
      </c>
      <c r="G140" s="496">
        <f t="shared" ref="G140:M140" si="51">SUM(G134:G139)</f>
        <v>66.642647050619999</v>
      </c>
      <c r="H140" s="495">
        <f t="shared" si="51"/>
        <v>0</v>
      </c>
      <c r="I140" s="496">
        <f t="shared" si="51"/>
        <v>65.446512138800003</v>
      </c>
      <c r="J140" s="496">
        <f t="shared" si="51"/>
        <v>65.446512138800003</v>
      </c>
      <c r="K140" s="496">
        <f t="shared" si="51"/>
        <v>0</v>
      </c>
      <c r="L140" s="496">
        <f t="shared" si="51"/>
        <v>0</v>
      </c>
      <c r="M140" s="496">
        <f t="shared" si="51"/>
        <v>0</v>
      </c>
      <c r="N140" s="497"/>
      <c r="O140" s="497"/>
      <c r="P140" s="497"/>
      <c r="Q140" s="498"/>
      <c r="R140" s="498">
        <f t="shared" si="47"/>
        <v>65.446512138800003</v>
      </c>
      <c r="S140" s="498">
        <f t="shared" si="48"/>
        <v>65.446512138800003</v>
      </c>
      <c r="T140" s="498">
        <f t="shared" si="49"/>
        <v>-1.1961349118199962</v>
      </c>
      <c r="U140" s="499"/>
    </row>
    <row r="141" spans="2:21" s="500" customFormat="1" ht="15">
      <c r="B141" s="511"/>
      <c r="C141" s="522"/>
      <c r="D141" s="521"/>
      <c r="E141" s="510"/>
      <c r="F141" s="497"/>
      <c r="G141" s="505"/>
      <c r="H141" s="510"/>
      <c r="I141" s="497"/>
      <c r="J141" s="497"/>
      <c r="K141" s="497"/>
      <c r="L141" s="497"/>
      <c r="M141" s="497"/>
      <c r="N141" s="497"/>
      <c r="O141" s="497"/>
      <c r="P141" s="497"/>
      <c r="Q141" s="498"/>
      <c r="R141" s="498">
        <f t="shared" si="47"/>
        <v>0</v>
      </c>
      <c r="S141" s="498">
        <f t="shared" si="48"/>
        <v>0</v>
      </c>
      <c r="T141" s="498">
        <f t="shared" si="49"/>
        <v>0</v>
      </c>
      <c r="U141" s="499"/>
    </row>
    <row r="142" spans="2:21" s="500" customFormat="1" ht="15">
      <c r="B142" s="511">
        <v>6</v>
      </c>
      <c r="C142" s="508" t="s">
        <v>306</v>
      </c>
      <c r="D142" s="521"/>
      <c r="E142" s="495">
        <f>E147</f>
        <v>0</v>
      </c>
      <c r="F142" s="496">
        <f>F147</f>
        <v>183.53856973417999</v>
      </c>
      <c r="G142" s="496">
        <f t="shared" ref="G142:M142" si="52">G147</f>
        <v>183.53856973417999</v>
      </c>
      <c r="H142" s="495">
        <f t="shared" si="52"/>
        <v>0</v>
      </c>
      <c r="I142" s="496">
        <f t="shared" si="52"/>
        <v>169.720748224</v>
      </c>
      <c r="J142" s="496">
        <f t="shared" si="52"/>
        <v>169.720748224</v>
      </c>
      <c r="K142" s="496">
        <f t="shared" si="52"/>
        <v>0</v>
      </c>
      <c r="L142" s="496">
        <f t="shared" si="52"/>
        <v>0</v>
      </c>
      <c r="M142" s="496">
        <f t="shared" si="52"/>
        <v>0</v>
      </c>
      <c r="N142" s="497"/>
      <c r="O142" s="497"/>
      <c r="P142" s="497"/>
      <c r="Q142" s="498"/>
      <c r="R142" s="498">
        <f t="shared" si="47"/>
        <v>169.720748224</v>
      </c>
      <c r="S142" s="498">
        <f t="shared" si="48"/>
        <v>169.720748224</v>
      </c>
      <c r="T142" s="498">
        <f t="shared" si="49"/>
        <v>-13.817821510179982</v>
      </c>
      <c r="U142" s="499"/>
    </row>
    <row r="143" spans="2:21">
      <c r="B143" s="430">
        <v>6.1</v>
      </c>
      <c r="C143" s="506" t="s">
        <v>307</v>
      </c>
      <c r="D143" s="519"/>
      <c r="E143" s="504"/>
      <c r="F143" s="113">
        <v>176.82</v>
      </c>
      <c r="G143" s="505">
        <f t="shared" si="34"/>
        <v>176.82</v>
      </c>
      <c r="H143" s="504"/>
      <c r="I143" s="113">
        <v>163.9376737</v>
      </c>
      <c r="J143" s="505">
        <f>H143+I143</f>
        <v>163.9376737</v>
      </c>
      <c r="K143" s="505"/>
      <c r="L143" s="505"/>
      <c r="M143" s="505"/>
      <c r="N143" s="505"/>
      <c r="O143" s="505"/>
      <c r="P143" s="505"/>
      <c r="Q143" s="498"/>
      <c r="R143" s="498">
        <f t="shared" si="47"/>
        <v>163.9376737</v>
      </c>
      <c r="S143" s="498">
        <f t="shared" si="48"/>
        <v>163.9376737</v>
      </c>
      <c r="T143" s="498">
        <f t="shared" si="49"/>
        <v>-12.882326299999988</v>
      </c>
      <c r="U143" s="502"/>
    </row>
    <row r="144" spans="2:21" ht="15">
      <c r="B144" s="430">
        <v>6.2</v>
      </c>
      <c r="C144" s="512" t="s">
        <v>308</v>
      </c>
      <c r="D144" s="519"/>
      <c r="E144" s="504"/>
      <c r="F144" s="497"/>
      <c r="G144" s="505">
        <f t="shared" si="34"/>
        <v>0</v>
      </c>
      <c r="H144" s="504"/>
      <c r="I144" s="113">
        <v>0</v>
      </c>
      <c r="J144" s="505"/>
      <c r="K144" s="505"/>
      <c r="L144" s="505"/>
      <c r="M144" s="505"/>
      <c r="N144" s="505"/>
      <c r="O144" s="505"/>
      <c r="P144" s="505"/>
      <c r="Q144" s="498"/>
      <c r="R144" s="498">
        <f t="shared" si="47"/>
        <v>0</v>
      </c>
      <c r="S144" s="498">
        <f t="shared" si="48"/>
        <v>0</v>
      </c>
      <c r="T144" s="498">
        <f t="shared" si="49"/>
        <v>0</v>
      </c>
      <c r="U144" s="502"/>
    </row>
    <row r="145" spans="2:21" ht="15">
      <c r="B145" s="430">
        <v>6.3</v>
      </c>
      <c r="C145" s="506" t="s">
        <v>309</v>
      </c>
      <c r="D145" s="519"/>
      <c r="E145" s="504"/>
      <c r="F145" s="497"/>
      <c r="G145" s="505">
        <f t="shared" si="34"/>
        <v>0</v>
      </c>
      <c r="H145" s="504"/>
      <c r="I145" s="113">
        <v>0</v>
      </c>
      <c r="J145" s="505"/>
      <c r="K145" s="505"/>
      <c r="L145" s="505"/>
      <c r="M145" s="505"/>
      <c r="N145" s="505"/>
      <c r="O145" s="505"/>
      <c r="P145" s="505"/>
      <c r="Q145" s="498"/>
      <c r="R145" s="498">
        <f t="shared" si="47"/>
        <v>0</v>
      </c>
      <c r="S145" s="498">
        <f t="shared" si="48"/>
        <v>0</v>
      </c>
      <c r="T145" s="498">
        <f t="shared" si="49"/>
        <v>0</v>
      </c>
      <c r="U145" s="502"/>
    </row>
    <row r="146" spans="2:21">
      <c r="B146" s="430">
        <v>6.4</v>
      </c>
      <c r="C146" s="506" t="s">
        <v>310</v>
      </c>
      <c r="D146" s="519" t="s">
        <v>1059</v>
      </c>
      <c r="E146" s="504"/>
      <c r="F146" s="113">
        <v>6.7185697341800017</v>
      </c>
      <c r="G146" s="505">
        <f t="shared" si="34"/>
        <v>6.7185697341800017</v>
      </c>
      <c r="H146" s="504"/>
      <c r="I146" s="113">
        <v>5.7830745239999999</v>
      </c>
      <c r="J146" s="505">
        <f>H146+I146</f>
        <v>5.7830745239999999</v>
      </c>
      <c r="K146" s="505"/>
      <c r="L146" s="505"/>
      <c r="M146" s="505"/>
      <c r="N146" s="505"/>
      <c r="O146" s="505"/>
      <c r="P146" s="505"/>
      <c r="Q146" s="498"/>
      <c r="R146" s="498">
        <f t="shared" si="47"/>
        <v>5.7830745239999999</v>
      </c>
      <c r="S146" s="498">
        <f t="shared" si="48"/>
        <v>5.7830745239999999</v>
      </c>
      <c r="T146" s="498">
        <f t="shared" si="49"/>
        <v>-0.93549521018000181</v>
      </c>
      <c r="U146" s="502"/>
    </row>
    <row r="147" spans="2:21" s="500" customFormat="1" ht="15">
      <c r="B147" s="511">
        <v>6.5</v>
      </c>
      <c r="C147" s="508" t="s">
        <v>311</v>
      </c>
      <c r="D147" s="521"/>
      <c r="E147" s="495">
        <f>SUM(E143:E146)</f>
        <v>0</v>
      </c>
      <c r="F147" s="496">
        <f>SUM(F143:F146)</f>
        <v>183.53856973417999</v>
      </c>
      <c r="G147" s="496">
        <f t="shared" ref="G147:M147" si="53">SUM(G143:G146)</f>
        <v>183.53856973417999</v>
      </c>
      <c r="H147" s="495">
        <f t="shared" si="53"/>
        <v>0</v>
      </c>
      <c r="I147" s="496">
        <f t="shared" si="53"/>
        <v>169.720748224</v>
      </c>
      <c r="J147" s="496">
        <f t="shared" si="53"/>
        <v>169.720748224</v>
      </c>
      <c r="K147" s="496">
        <f t="shared" si="53"/>
        <v>0</v>
      </c>
      <c r="L147" s="496">
        <f t="shared" si="53"/>
        <v>0</v>
      </c>
      <c r="M147" s="496">
        <f t="shared" si="53"/>
        <v>0</v>
      </c>
      <c r="N147" s="497"/>
      <c r="O147" s="497"/>
      <c r="P147" s="497"/>
      <c r="Q147" s="498"/>
      <c r="R147" s="498">
        <f t="shared" si="47"/>
        <v>169.720748224</v>
      </c>
      <c r="S147" s="498">
        <f t="shared" si="48"/>
        <v>169.720748224</v>
      </c>
      <c r="T147" s="498">
        <f t="shared" si="49"/>
        <v>-13.817821510179982</v>
      </c>
      <c r="U147" s="499"/>
    </row>
    <row r="148" spans="2:21" s="500" customFormat="1" ht="15">
      <c r="B148" s="511"/>
      <c r="C148" s="508"/>
      <c r="D148" s="521"/>
      <c r="E148" s="510"/>
      <c r="F148" s="497"/>
      <c r="G148" s="505"/>
      <c r="H148" s="510"/>
      <c r="I148" s="497"/>
      <c r="J148" s="497"/>
      <c r="K148" s="497"/>
      <c r="L148" s="497"/>
      <c r="M148" s="497"/>
      <c r="N148" s="497"/>
      <c r="O148" s="497"/>
      <c r="P148" s="497"/>
      <c r="Q148" s="498"/>
      <c r="R148" s="498">
        <f t="shared" si="47"/>
        <v>0</v>
      </c>
      <c r="S148" s="498">
        <f t="shared" si="48"/>
        <v>0</v>
      </c>
      <c r="T148" s="498">
        <f t="shared" si="49"/>
        <v>0</v>
      </c>
      <c r="U148" s="499"/>
    </row>
    <row r="149" spans="2:21" s="500" customFormat="1" ht="15">
      <c r="B149" s="511">
        <v>7</v>
      </c>
      <c r="C149" s="508" t="s">
        <v>312</v>
      </c>
      <c r="D149" s="521"/>
      <c r="E149" s="495">
        <f>SUM(E150:E151)</f>
        <v>0</v>
      </c>
      <c r="F149" s="496">
        <f>SUM(F150:F151)</f>
        <v>2408.9921892860002</v>
      </c>
      <c r="G149" s="496">
        <f t="shared" ref="G149:M149" si="54">SUM(G150:G151)</f>
        <v>2408.9921892860002</v>
      </c>
      <c r="H149" s="495">
        <f t="shared" si="54"/>
        <v>0</v>
      </c>
      <c r="I149" s="496">
        <f t="shared" si="54"/>
        <v>2408.9921892000002</v>
      </c>
      <c r="J149" s="496">
        <f t="shared" si="54"/>
        <v>2408.9921892000002</v>
      </c>
      <c r="K149" s="496">
        <f t="shared" si="54"/>
        <v>0</v>
      </c>
      <c r="L149" s="496">
        <f t="shared" si="54"/>
        <v>0</v>
      </c>
      <c r="M149" s="496">
        <f t="shared" si="54"/>
        <v>0</v>
      </c>
      <c r="N149" s="497"/>
      <c r="O149" s="497"/>
      <c r="P149" s="497"/>
      <c r="Q149" s="498"/>
      <c r="R149" s="498">
        <f t="shared" si="47"/>
        <v>2408.9921892000002</v>
      </c>
      <c r="S149" s="498">
        <f t="shared" si="48"/>
        <v>2408.9921892000002</v>
      </c>
      <c r="T149" s="498">
        <f t="shared" si="49"/>
        <v>-8.6000000010244548E-8</v>
      </c>
      <c r="U149" s="499"/>
    </row>
    <row r="150" spans="2:21" s="500" customFormat="1" ht="15">
      <c r="B150" s="430">
        <v>7.1</v>
      </c>
      <c r="C150" s="506" t="s">
        <v>1056</v>
      </c>
      <c r="D150" s="521"/>
      <c r="E150" s="510"/>
      <c r="F150" s="113">
        <v>2408.9921892860002</v>
      </c>
      <c r="G150" s="505">
        <f t="shared" si="34"/>
        <v>2408.9921892860002</v>
      </c>
      <c r="H150" s="510"/>
      <c r="I150" s="113">
        <v>2408.9921892000002</v>
      </c>
      <c r="J150" s="505">
        <f t="shared" ref="J150" si="55">H150+I150</f>
        <v>2408.9921892000002</v>
      </c>
      <c r="K150" s="497"/>
      <c r="L150" s="497"/>
      <c r="M150" s="497"/>
      <c r="N150" s="497"/>
      <c r="O150" s="497"/>
      <c r="P150" s="497"/>
      <c r="Q150" s="498"/>
      <c r="R150" s="498">
        <f t="shared" si="47"/>
        <v>2408.9921892000002</v>
      </c>
      <c r="S150" s="498">
        <f t="shared" si="48"/>
        <v>2408.9921892000002</v>
      </c>
      <c r="T150" s="498">
        <f t="shared" si="49"/>
        <v>-8.6000000010244548E-8</v>
      </c>
      <c r="U150" s="499"/>
    </row>
    <row r="151" spans="2:21" ht="15">
      <c r="B151" s="430">
        <v>7.2</v>
      </c>
      <c r="C151" s="512" t="s">
        <v>1057</v>
      </c>
      <c r="D151" s="519"/>
      <c r="E151" s="504"/>
      <c r="F151" s="497"/>
      <c r="G151" s="505">
        <f t="shared" si="34"/>
        <v>0</v>
      </c>
      <c r="H151" s="504"/>
      <c r="I151" s="505"/>
      <c r="J151" s="505"/>
      <c r="K151" s="505"/>
      <c r="L151" s="505"/>
      <c r="M151" s="505"/>
      <c r="N151" s="505"/>
      <c r="O151" s="505"/>
      <c r="P151" s="505"/>
      <c r="Q151" s="498"/>
      <c r="R151" s="498">
        <f t="shared" si="47"/>
        <v>0</v>
      </c>
      <c r="S151" s="498">
        <f t="shared" si="48"/>
        <v>0</v>
      </c>
      <c r="T151" s="498">
        <f t="shared" si="49"/>
        <v>0</v>
      </c>
      <c r="U151" s="502"/>
    </row>
    <row r="152" spans="2:21" ht="15">
      <c r="B152" s="430"/>
      <c r="C152" s="512"/>
      <c r="D152" s="519"/>
      <c r="E152" s="504"/>
      <c r="F152" s="497"/>
      <c r="G152" s="505"/>
      <c r="H152" s="504"/>
      <c r="I152" s="505"/>
      <c r="J152" s="505"/>
      <c r="K152" s="505"/>
      <c r="L152" s="505"/>
      <c r="M152" s="505"/>
      <c r="N152" s="505"/>
      <c r="O152" s="505"/>
      <c r="P152" s="505"/>
      <c r="Q152" s="498"/>
      <c r="R152" s="498">
        <f t="shared" si="47"/>
        <v>0</v>
      </c>
      <c r="S152" s="498">
        <f t="shared" si="48"/>
        <v>0</v>
      </c>
      <c r="T152" s="498">
        <f t="shared" si="49"/>
        <v>0</v>
      </c>
      <c r="U152" s="502"/>
    </row>
    <row r="153" spans="2:21" s="500" customFormat="1" ht="15">
      <c r="B153" s="511">
        <v>8</v>
      </c>
      <c r="C153" s="508" t="s">
        <v>313</v>
      </c>
      <c r="D153" s="521"/>
      <c r="E153" s="495">
        <f>E9+E15+E111+E113+E133+E142+E149</f>
        <v>0</v>
      </c>
      <c r="F153" s="496">
        <f>F9+F15+F111+F113+F133+F142+F149</f>
        <v>10263.567402931571</v>
      </c>
      <c r="G153" s="496">
        <f t="shared" ref="G153:M153" si="56">G9+G15+G111+G113+G133+G142+G149</f>
        <v>10263.567402931571</v>
      </c>
      <c r="H153" s="495">
        <f t="shared" si="56"/>
        <v>0</v>
      </c>
      <c r="I153" s="496">
        <f>I9+I15+I111+I113+I133+I142+I149</f>
        <v>9892.9754204088022</v>
      </c>
      <c r="J153" s="496">
        <f t="shared" si="56"/>
        <v>9892.9754204088022</v>
      </c>
      <c r="K153" s="496">
        <f t="shared" si="56"/>
        <v>0</v>
      </c>
      <c r="L153" s="496">
        <f t="shared" si="56"/>
        <v>0</v>
      </c>
      <c r="M153" s="496">
        <f t="shared" si="56"/>
        <v>0</v>
      </c>
      <c r="N153" s="497"/>
      <c r="O153" s="497"/>
      <c r="P153" s="497"/>
      <c r="Q153" s="498"/>
      <c r="R153" s="498">
        <f t="shared" si="47"/>
        <v>9892.9754204088022</v>
      </c>
      <c r="S153" s="498">
        <f t="shared" si="48"/>
        <v>9892.9754204088022</v>
      </c>
      <c r="T153" s="498">
        <f t="shared" si="49"/>
        <v>-370.59198252276838</v>
      </c>
      <c r="U153" s="499"/>
    </row>
  </sheetData>
  <mergeCells count="12">
    <mergeCell ref="B1:U1"/>
    <mergeCell ref="B2:U2"/>
    <mergeCell ref="B5:B8"/>
    <mergeCell ref="C5:C8"/>
    <mergeCell ref="D5:S5"/>
    <mergeCell ref="T5:T7"/>
    <mergeCell ref="U5:U8"/>
    <mergeCell ref="D6:G6"/>
    <mergeCell ref="H6:J6"/>
    <mergeCell ref="K6:M6"/>
    <mergeCell ref="N6:P6"/>
    <mergeCell ref="Q6:S6"/>
  </mergeCells>
  <pageMargins left="0.2" right="0.2" top="0.5" bottom="0.25" header="0.3" footer="0.3"/>
  <pageSetup paperSize="9" scale="44" fitToHeight="0" orientation="landscape" r:id="rId1"/>
  <rowBreaks count="1" manualBreakCount="1">
    <brk id="79" max="20" man="1"/>
  </rowBreaks>
</worksheet>
</file>

<file path=xl/worksheets/sheet25.xml><?xml version="1.0" encoding="utf-8"?>
<worksheet xmlns="http://schemas.openxmlformats.org/spreadsheetml/2006/main" xmlns:r="http://schemas.openxmlformats.org/officeDocument/2006/relationships">
  <sheetPr>
    <pageSetUpPr fitToPage="1"/>
  </sheetPr>
  <dimension ref="A1:N20"/>
  <sheetViews>
    <sheetView showGridLines="0" zoomScale="60" zoomScaleNormal="60" zoomScaleSheetLayoutView="80" workbookViewId="0">
      <selection activeCell="L24" sqref="L24"/>
    </sheetView>
  </sheetViews>
  <sheetFormatPr defaultRowHeight="12.75"/>
  <cols>
    <col min="2" max="2" width="43.140625" customWidth="1"/>
    <col min="3" max="3" width="67.85546875" customWidth="1"/>
    <col min="4" max="4" width="20.28515625" customWidth="1"/>
    <col min="5" max="5" width="11.42578125" customWidth="1"/>
    <col min="6" max="6" width="12.85546875" bestFit="1" customWidth="1"/>
    <col min="7" max="7" width="16.42578125" customWidth="1"/>
    <col min="8" max="8" width="23.42578125" bestFit="1" customWidth="1"/>
    <col min="9" max="9" width="17.7109375" customWidth="1"/>
    <col min="10" max="10" width="17.42578125" customWidth="1"/>
    <col min="11" max="11" width="14.140625" customWidth="1"/>
    <col min="12" max="12" width="16" customWidth="1"/>
    <col min="13" max="13" width="20" customWidth="1"/>
    <col min="14" max="14" width="21" customWidth="1"/>
    <col min="15" max="15" width="9.28515625" bestFit="1" customWidth="1"/>
  </cols>
  <sheetData>
    <row r="1" spans="1:14" ht="15">
      <c r="A1" s="116"/>
      <c r="B1" s="90"/>
      <c r="C1" s="90"/>
      <c r="D1" s="90"/>
      <c r="E1" s="90"/>
      <c r="F1" s="90"/>
      <c r="G1" s="90"/>
      <c r="H1" s="90"/>
      <c r="I1" s="90"/>
      <c r="J1" s="90"/>
      <c r="K1" s="90"/>
      <c r="L1" s="90"/>
      <c r="M1" s="90"/>
      <c r="N1" s="116"/>
    </row>
    <row r="2" spans="1:14" ht="15">
      <c r="A2" s="42"/>
      <c r="B2" s="88"/>
      <c r="C2" s="42"/>
      <c r="D2" s="42"/>
      <c r="E2" s="42"/>
      <c r="F2" s="42"/>
      <c r="G2" s="39" t="s">
        <v>707</v>
      </c>
      <c r="H2" s="88"/>
      <c r="I2" s="88"/>
      <c r="J2" s="88"/>
      <c r="K2" s="88"/>
      <c r="L2" s="88"/>
      <c r="M2" s="88"/>
      <c r="N2" s="88"/>
    </row>
    <row r="3" spans="1:14" ht="15">
      <c r="A3" s="42"/>
      <c r="B3" s="88"/>
      <c r="C3" s="42"/>
      <c r="D3" s="42"/>
      <c r="E3" s="42"/>
      <c r="F3" s="42"/>
      <c r="G3" s="39" t="s">
        <v>949</v>
      </c>
      <c r="H3" s="88"/>
      <c r="I3" s="88"/>
      <c r="J3" s="88"/>
      <c r="K3" s="88"/>
      <c r="L3" s="88"/>
      <c r="M3" s="88"/>
      <c r="N3" s="88"/>
    </row>
    <row r="4" spans="1:14" ht="15">
      <c r="A4" s="90"/>
      <c r="B4" s="88"/>
      <c r="C4" s="90"/>
      <c r="D4" s="90"/>
      <c r="E4" s="90"/>
      <c r="F4" s="90"/>
      <c r="G4" s="388" t="s">
        <v>656</v>
      </c>
      <c r="H4" s="88"/>
      <c r="I4" s="88"/>
      <c r="J4" s="88"/>
      <c r="K4" s="88"/>
      <c r="L4" s="88"/>
      <c r="M4" s="88"/>
      <c r="N4" s="88"/>
    </row>
    <row r="5" spans="1:14" ht="15">
      <c r="A5" s="90"/>
      <c r="B5" s="88"/>
      <c r="C5" s="90"/>
      <c r="D5" s="90"/>
      <c r="E5" s="90"/>
      <c r="F5" s="90"/>
      <c r="G5" s="388"/>
      <c r="H5" s="88"/>
      <c r="I5" s="88"/>
      <c r="J5" s="88"/>
      <c r="K5" s="88"/>
      <c r="L5" s="88"/>
      <c r="M5" s="88"/>
      <c r="N5" s="88"/>
    </row>
    <row r="6" spans="1:14" ht="119.25" customHeight="1">
      <c r="A6" s="186" t="s">
        <v>360</v>
      </c>
      <c r="B6" s="186" t="s">
        <v>314</v>
      </c>
      <c r="C6" s="186" t="s">
        <v>373</v>
      </c>
      <c r="D6" s="186" t="s">
        <v>1033</v>
      </c>
      <c r="E6" s="186" t="s">
        <v>315</v>
      </c>
      <c r="F6" s="186" t="s">
        <v>316</v>
      </c>
      <c r="G6" s="186" t="s">
        <v>317</v>
      </c>
      <c r="H6" s="186" t="s">
        <v>318</v>
      </c>
      <c r="I6" s="186" t="s">
        <v>755</v>
      </c>
      <c r="J6" s="186" t="s">
        <v>374</v>
      </c>
      <c r="K6" s="186" t="s">
        <v>319</v>
      </c>
      <c r="L6" s="117" t="s">
        <v>375</v>
      </c>
      <c r="M6" s="186" t="s">
        <v>376</v>
      </c>
      <c r="N6" s="230" t="s">
        <v>756</v>
      </c>
    </row>
    <row r="7" spans="1:14" ht="144.75" customHeight="1">
      <c r="A7" s="92">
        <v>1</v>
      </c>
      <c r="B7" s="231" t="s">
        <v>757</v>
      </c>
      <c r="C7" s="231" t="s">
        <v>758</v>
      </c>
      <c r="D7" s="685" t="s">
        <v>759</v>
      </c>
      <c r="E7" s="686"/>
      <c r="F7" s="232" t="s">
        <v>760</v>
      </c>
      <c r="G7" s="233" t="s">
        <v>760</v>
      </c>
      <c r="H7" s="234" t="s">
        <v>761</v>
      </c>
      <c r="I7" s="234" t="s">
        <v>966</v>
      </c>
      <c r="J7" s="235" t="s">
        <v>762</v>
      </c>
      <c r="K7" s="234" t="s">
        <v>763</v>
      </c>
      <c r="L7" s="236">
        <v>14732.33</v>
      </c>
      <c r="M7" s="687">
        <v>13756.54</v>
      </c>
      <c r="N7" s="683">
        <f>M7/L7</f>
        <v>0.93376539895590183</v>
      </c>
    </row>
    <row r="8" spans="1:14" ht="149.25" customHeight="1">
      <c r="A8" s="92">
        <v>2</v>
      </c>
      <c r="B8" s="237" t="s">
        <v>764</v>
      </c>
      <c r="C8" s="231" t="s">
        <v>765</v>
      </c>
      <c r="D8" s="685" t="s">
        <v>759</v>
      </c>
      <c r="E8" s="686"/>
      <c r="F8" s="238" t="s">
        <v>760</v>
      </c>
      <c r="G8" s="233" t="s">
        <v>760</v>
      </c>
      <c r="H8" s="234" t="s">
        <v>761</v>
      </c>
      <c r="I8" s="234" t="s">
        <v>966</v>
      </c>
      <c r="J8" s="233">
        <v>2234.0700000000002</v>
      </c>
      <c r="K8" s="233" t="s">
        <v>763</v>
      </c>
      <c r="L8" s="233">
        <v>2234.0700000000002</v>
      </c>
      <c r="M8" s="671"/>
      <c r="N8" s="684"/>
    </row>
    <row r="9" spans="1:14" ht="127.5">
      <c r="A9" s="92">
        <v>3</v>
      </c>
      <c r="B9" s="239" t="s">
        <v>766</v>
      </c>
      <c r="C9" s="231" t="s">
        <v>767</v>
      </c>
      <c r="D9" s="685" t="s">
        <v>759</v>
      </c>
      <c r="E9" s="686"/>
      <c r="F9" s="238" t="s">
        <v>760</v>
      </c>
      <c r="G9" s="233" t="s">
        <v>760</v>
      </c>
      <c r="H9" s="234" t="s">
        <v>761</v>
      </c>
      <c r="I9" s="234" t="s">
        <v>966</v>
      </c>
      <c r="J9" s="233">
        <v>3728.14</v>
      </c>
      <c r="K9" s="233" t="s">
        <v>763</v>
      </c>
      <c r="L9" s="233">
        <v>3728.14</v>
      </c>
      <c r="M9" s="430">
        <v>3351.29</v>
      </c>
      <c r="N9" s="243">
        <f>M9/J9</f>
        <v>0.89891742262897856</v>
      </c>
    </row>
    <row r="10" spans="1:14" ht="89.25" customHeight="1">
      <c r="A10" s="92">
        <v>4</v>
      </c>
      <c r="B10" s="240" t="s">
        <v>768</v>
      </c>
      <c r="C10" s="231" t="s">
        <v>769</v>
      </c>
      <c r="D10" s="233" t="s">
        <v>770</v>
      </c>
      <c r="E10" s="233">
        <v>3</v>
      </c>
      <c r="F10" s="232" t="s">
        <v>771</v>
      </c>
      <c r="G10" s="232" t="s">
        <v>771</v>
      </c>
      <c r="H10" s="232" t="s">
        <v>740</v>
      </c>
      <c r="I10" s="241" t="s">
        <v>740</v>
      </c>
      <c r="J10" s="237" t="s">
        <v>772</v>
      </c>
      <c r="K10" s="233" t="s">
        <v>763</v>
      </c>
      <c r="L10" s="237" t="s">
        <v>1042</v>
      </c>
      <c r="M10" s="430">
        <v>18.52</v>
      </c>
      <c r="N10" s="243">
        <f>M10/20.83</f>
        <v>0.88910225636101781</v>
      </c>
    </row>
    <row r="11" spans="1:14" ht="135.75" customHeight="1">
      <c r="A11" s="242">
        <v>5</v>
      </c>
      <c r="B11" s="239" t="s">
        <v>773</v>
      </c>
      <c r="C11" s="231" t="s">
        <v>774</v>
      </c>
      <c r="D11" s="685" t="s">
        <v>759</v>
      </c>
      <c r="E11" s="686"/>
      <c r="F11" s="415" t="s">
        <v>775</v>
      </c>
      <c r="G11" s="415" t="s">
        <v>775</v>
      </c>
      <c r="H11" s="416" t="s">
        <v>728</v>
      </c>
      <c r="I11" s="416" t="s">
        <v>728</v>
      </c>
      <c r="J11" s="234" t="s">
        <v>776</v>
      </c>
      <c r="K11" s="233" t="s">
        <v>763</v>
      </c>
      <c r="L11" s="234" t="s">
        <v>776</v>
      </c>
      <c r="M11" s="430">
        <v>5.91</v>
      </c>
      <c r="N11" s="243">
        <v>1</v>
      </c>
    </row>
    <row r="12" spans="1:14" ht="128.25">
      <c r="A12" s="244">
        <v>6</v>
      </c>
      <c r="B12" s="244" t="s">
        <v>777</v>
      </c>
      <c r="C12" s="244" t="s">
        <v>778</v>
      </c>
      <c r="D12" s="245" t="s">
        <v>770</v>
      </c>
      <c r="E12" s="244">
        <v>3</v>
      </c>
      <c r="F12" s="244" t="s">
        <v>779</v>
      </c>
      <c r="G12" s="244" t="s">
        <v>779</v>
      </c>
      <c r="H12" s="244" t="s">
        <v>780</v>
      </c>
      <c r="I12" s="246" t="s">
        <v>781</v>
      </c>
      <c r="J12" s="244" t="s">
        <v>782</v>
      </c>
      <c r="K12" s="244" t="s">
        <v>763</v>
      </c>
      <c r="L12" s="244" t="s">
        <v>1041</v>
      </c>
      <c r="M12" s="245">
        <v>0.26</v>
      </c>
      <c r="N12" s="243">
        <v>1</v>
      </c>
    </row>
    <row r="13" spans="1:14" ht="102" customHeight="1">
      <c r="A13" s="244">
        <v>7</v>
      </c>
      <c r="B13" s="244" t="s">
        <v>783</v>
      </c>
      <c r="C13" s="244" t="s">
        <v>784</v>
      </c>
      <c r="D13" s="245" t="s">
        <v>770</v>
      </c>
      <c r="E13" s="244">
        <v>3</v>
      </c>
      <c r="F13" s="244" t="s">
        <v>785</v>
      </c>
      <c r="G13" s="244" t="s">
        <v>785</v>
      </c>
      <c r="H13" s="244" t="s">
        <v>786</v>
      </c>
      <c r="I13" s="244" t="s">
        <v>787</v>
      </c>
      <c r="J13" s="244" t="s">
        <v>1039</v>
      </c>
      <c r="K13" s="244" t="s">
        <v>763</v>
      </c>
      <c r="L13" s="244" t="s">
        <v>1040</v>
      </c>
      <c r="M13" s="245">
        <v>0.28999999999999998</v>
      </c>
      <c r="N13" s="243">
        <v>1</v>
      </c>
    </row>
    <row r="14" spans="1:14" ht="129" customHeight="1">
      <c r="A14" s="244">
        <v>8</v>
      </c>
      <c r="B14" s="241" t="s">
        <v>788</v>
      </c>
      <c r="C14" s="237" t="s">
        <v>789</v>
      </c>
      <c r="D14" s="241" t="s">
        <v>770</v>
      </c>
      <c r="E14" s="241">
        <v>4</v>
      </c>
      <c r="F14" s="241" t="s">
        <v>790</v>
      </c>
      <c r="G14" s="241"/>
      <c r="H14" s="247" t="s">
        <v>791</v>
      </c>
      <c r="I14" s="241"/>
      <c r="J14" s="248" t="s">
        <v>1038</v>
      </c>
      <c r="K14" s="241" t="s">
        <v>763</v>
      </c>
      <c r="L14" s="248" t="s">
        <v>1037</v>
      </c>
      <c r="M14" s="244"/>
      <c r="N14" s="244"/>
    </row>
    <row r="15" spans="1:14" ht="92.25" customHeight="1">
      <c r="A15" s="244">
        <v>9</v>
      </c>
      <c r="B15" s="244" t="s">
        <v>792</v>
      </c>
      <c r="C15" s="237" t="s">
        <v>793</v>
      </c>
      <c r="D15" s="241" t="s">
        <v>770</v>
      </c>
      <c r="E15" s="241">
        <v>4</v>
      </c>
      <c r="F15" s="249" t="s">
        <v>794</v>
      </c>
      <c r="G15" s="244" t="s">
        <v>795</v>
      </c>
      <c r="H15" s="247" t="s">
        <v>1034</v>
      </c>
      <c r="I15" s="244"/>
      <c r="J15" s="250" t="s">
        <v>1036</v>
      </c>
      <c r="K15" s="241" t="s">
        <v>763</v>
      </c>
      <c r="L15" s="250" t="s">
        <v>1035</v>
      </c>
      <c r="M15" s="244"/>
      <c r="N15" s="244"/>
    </row>
    <row r="16" spans="1:14" ht="14.25">
      <c r="A16" s="116"/>
      <c r="B16" s="116"/>
      <c r="C16" s="116"/>
      <c r="D16" s="116"/>
      <c r="E16" s="116"/>
      <c r="F16" s="116"/>
      <c r="G16" s="116"/>
      <c r="H16" s="116"/>
      <c r="I16" s="116"/>
      <c r="J16" s="417"/>
      <c r="K16" s="116"/>
      <c r="L16" s="116"/>
      <c r="M16" s="116"/>
      <c r="N16" s="116"/>
    </row>
    <row r="17" spans="1:14" ht="14.25">
      <c r="A17" s="116"/>
      <c r="B17" s="116"/>
      <c r="C17" s="116"/>
      <c r="D17" s="116"/>
      <c r="E17" s="116"/>
      <c r="F17" s="116"/>
      <c r="G17" s="116"/>
      <c r="H17" s="116"/>
      <c r="I17" s="116"/>
      <c r="J17" s="116"/>
      <c r="K17" s="116"/>
      <c r="L17" s="116"/>
      <c r="M17" s="116"/>
      <c r="N17" s="116"/>
    </row>
    <row r="18" spans="1:14" ht="15">
      <c r="A18" s="116"/>
      <c r="B18" s="116"/>
      <c r="C18" s="116"/>
      <c r="D18" s="116"/>
      <c r="E18" s="116"/>
      <c r="F18" s="116"/>
      <c r="G18" s="116"/>
      <c r="H18" s="116"/>
      <c r="I18" s="116"/>
      <c r="J18" s="116"/>
      <c r="K18" s="116"/>
      <c r="L18" s="116"/>
      <c r="M18" s="90"/>
      <c r="N18" s="116"/>
    </row>
    <row r="19" spans="1:14" ht="14.25">
      <c r="A19" s="116"/>
      <c r="B19" s="116"/>
      <c r="C19" s="116"/>
      <c r="D19" s="116"/>
      <c r="E19" s="116"/>
      <c r="F19" s="116"/>
      <c r="G19" s="116"/>
      <c r="H19" s="116"/>
      <c r="I19" s="116"/>
      <c r="J19" s="116"/>
      <c r="K19" s="116"/>
      <c r="L19" s="116"/>
      <c r="M19" s="116"/>
      <c r="N19" s="116"/>
    </row>
    <row r="20" spans="1:14" ht="14.25">
      <c r="A20" s="116"/>
      <c r="B20" s="116"/>
      <c r="C20" s="116"/>
      <c r="D20" s="116"/>
      <c r="E20" s="116"/>
      <c r="F20" s="116"/>
      <c r="G20" s="116"/>
      <c r="H20" s="116"/>
      <c r="I20" s="116"/>
      <c r="J20" s="116"/>
      <c r="K20" s="116"/>
      <c r="L20" s="116"/>
      <c r="M20" s="116"/>
      <c r="N20" s="116"/>
    </row>
  </sheetData>
  <mergeCells count="6">
    <mergeCell ref="N7:N8"/>
    <mergeCell ref="D7:E7"/>
    <mergeCell ref="D8:E8"/>
    <mergeCell ref="D9:E9"/>
    <mergeCell ref="D11:E11"/>
    <mergeCell ref="M7:M8"/>
  </mergeCells>
  <printOptions horizontalCentered="1"/>
  <pageMargins left="5.1181101999999999E-2" right="0.261811024" top="0.18110236199999999" bottom="0.234251969" header="0.39370078740157499" footer="0.31496062992126"/>
  <pageSetup paperSize="9" scale="45"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C3:U33"/>
  <sheetViews>
    <sheetView showGridLines="0" zoomScale="75" zoomScaleNormal="75" zoomScaleSheetLayoutView="80" workbookViewId="0">
      <selection activeCell="L24" sqref="L24"/>
    </sheetView>
  </sheetViews>
  <sheetFormatPr defaultColWidth="9.28515625" defaultRowHeight="14.25"/>
  <cols>
    <col min="1" max="1" width="9.28515625" style="5"/>
    <col min="2" max="2" width="2.7109375" style="5" customWidth="1"/>
    <col min="3" max="3" width="26.5703125" style="5" customWidth="1"/>
    <col min="4" max="4" width="12.42578125" style="5" customWidth="1"/>
    <col min="5" max="5" width="20.5703125" style="5" customWidth="1"/>
    <col min="6" max="6" width="13.28515625" style="5" customWidth="1"/>
    <col min="7" max="7" width="12.42578125" style="5" customWidth="1"/>
    <col min="8" max="8" width="20.5703125" style="5" customWidth="1"/>
    <col min="9" max="9" width="14.140625" style="5" customWidth="1"/>
    <col min="10" max="10" width="12.85546875" style="5" hidden="1" customWidth="1"/>
    <col min="11" max="11" width="13" style="5" hidden="1" customWidth="1"/>
    <col min="12" max="15" width="13.28515625" style="5" hidden="1" customWidth="1"/>
    <col min="16" max="16" width="12.42578125" style="5" hidden="1" customWidth="1"/>
    <col min="17" max="17" width="13.7109375" style="5" hidden="1" customWidth="1"/>
    <col min="18" max="18" width="13.28515625" style="5" hidden="1" customWidth="1"/>
    <col min="19" max="20" width="16.7109375" style="5" customWidth="1"/>
    <col min="21" max="21" width="26.7109375" style="5" customWidth="1"/>
    <col min="22" max="261" width="9.28515625" style="5"/>
    <col min="262" max="262" width="71" style="5" customWidth="1"/>
    <col min="263" max="263" width="22.7109375" style="5" bestFit="1" customWidth="1"/>
    <col min="264" max="264" width="33" style="5" bestFit="1" customWidth="1"/>
    <col min="265" max="265" width="26.5703125" style="5" bestFit="1" customWidth="1"/>
    <col min="266" max="266" width="22.7109375" style="5" bestFit="1" customWidth="1"/>
    <col min="267" max="267" width="33" style="5" bestFit="1" customWidth="1"/>
    <col min="268" max="268" width="26.5703125" style="5" customWidth="1"/>
    <col min="269" max="269" width="22.7109375" style="5" bestFit="1" customWidth="1"/>
    <col min="270" max="271" width="33" style="5" bestFit="1" customWidth="1"/>
    <col min="272" max="272" width="22.7109375" style="5" bestFit="1" customWidth="1"/>
    <col min="273" max="273" width="33" style="5" bestFit="1" customWidth="1"/>
    <col min="274" max="274" width="25.7109375" style="5" customWidth="1"/>
    <col min="275" max="276" width="16.7109375" style="5" customWidth="1"/>
    <col min="277" max="277" width="26.7109375" style="5" customWidth="1"/>
    <col min="278" max="517" width="9.28515625" style="5"/>
    <col min="518" max="518" width="71" style="5" customWidth="1"/>
    <col min="519" max="519" width="22.7109375" style="5" bestFit="1" customWidth="1"/>
    <col min="520" max="520" width="33" style="5" bestFit="1" customWidth="1"/>
    <col min="521" max="521" width="26.5703125" style="5" bestFit="1" customWidth="1"/>
    <col min="522" max="522" width="22.7109375" style="5" bestFit="1" customWidth="1"/>
    <col min="523" max="523" width="33" style="5" bestFit="1" customWidth="1"/>
    <col min="524" max="524" width="26.5703125" style="5" customWidth="1"/>
    <col min="525" max="525" width="22.7109375" style="5" bestFit="1" customWidth="1"/>
    <col min="526" max="527" width="33" style="5" bestFit="1" customWidth="1"/>
    <col min="528" max="528" width="22.7109375" style="5" bestFit="1" customWidth="1"/>
    <col min="529" max="529" width="33" style="5" bestFit="1" customWidth="1"/>
    <col min="530" max="530" width="25.7109375" style="5" customWidth="1"/>
    <col min="531" max="532" width="16.7109375" style="5" customWidth="1"/>
    <col min="533" max="533" width="26.7109375" style="5" customWidth="1"/>
    <col min="534" max="773" width="9.28515625" style="5"/>
    <col min="774" max="774" width="71" style="5" customWidth="1"/>
    <col min="775" max="775" width="22.7109375" style="5" bestFit="1" customWidth="1"/>
    <col min="776" max="776" width="33" style="5" bestFit="1" customWidth="1"/>
    <col min="777" max="777" width="26.5703125" style="5" bestFit="1" customWidth="1"/>
    <col min="778" max="778" width="22.7109375" style="5" bestFit="1" customWidth="1"/>
    <col min="779" max="779" width="33" style="5" bestFit="1" customWidth="1"/>
    <col min="780" max="780" width="26.5703125" style="5" customWidth="1"/>
    <col min="781" max="781" width="22.7109375" style="5" bestFit="1" customWidth="1"/>
    <col min="782" max="783" width="33" style="5" bestFit="1" customWidth="1"/>
    <col min="784" max="784" width="22.7109375" style="5" bestFit="1" customWidth="1"/>
    <col min="785" max="785" width="33" style="5" bestFit="1" customWidth="1"/>
    <col min="786" max="786" width="25.7109375" style="5" customWidth="1"/>
    <col min="787" max="788" width="16.7109375" style="5" customWidth="1"/>
    <col min="789" max="789" width="26.7109375" style="5" customWidth="1"/>
    <col min="790" max="1029" width="9.28515625" style="5"/>
    <col min="1030" max="1030" width="71" style="5" customWidth="1"/>
    <col min="1031" max="1031" width="22.7109375" style="5" bestFit="1" customWidth="1"/>
    <col min="1032" max="1032" width="33" style="5" bestFit="1" customWidth="1"/>
    <col min="1033" max="1033" width="26.5703125" style="5" bestFit="1" customWidth="1"/>
    <col min="1034" max="1034" width="22.7109375" style="5" bestFit="1" customWidth="1"/>
    <col min="1035" max="1035" width="33" style="5" bestFit="1" customWidth="1"/>
    <col min="1036" max="1036" width="26.5703125" style="5" customWidth="1"/>
    <col min="1037" max="1037" width="22.7109375" style="5" bestFit="1" customWidth="1"/>
    <col min="1038" max="1039" width="33" style="5" bestFit="1" customWidth="1"/>
    <col min="1040" max="1040" width="22.7109375" style="5" bestFit="1" customWidth="1"/>
    <col min="1041" max="1041" width="33" style="5" bestFit="1" customWidth="1"/>
    <col min="1042" max="1042" width="25.7109375" style="5" customWidth="1"/>
    <col min="1043" max="1044" width="16.7109375" style="5" customWidth="1"/>
    <col min="1045" max="1045" width="26.7109375" style="5" customWidth="1"/>
    <col min="1046" max="1285" width="9.28515625" style="5"/>
    <col min="1286" max="1286" width="71" style="5" customWidth="1"/>
    <col min="1287" max="1287" width="22.7109375" style="5" bestFit="1" customWidth="1"/>
    <col min="1288" max="1288" width="33" style="5" bestFit="1" customWidth="1"/>
    <col min="1289" max="1289" width="26.5703125" style="5" bestFit="1" customWidth="1"/>
    <col min="1290" max="1290" width="22.7109375" style="5" bestFit="1" customWidth="1"/>
    <col min="1291" max="1291" width="33" style="5" bestFit="1" customWidth="1"/>
    <col min="1292" max="1292" width="26.5703125" style="5" customWidth="1"/>
    <col min="1293" max="1293" width="22.7109375" style="5" bestFit="1" customWidth="1"/>
    <col min="1294" max="1295" width="33" style="5" bestFit="1" customWidth="1"/>
    <col min="1296" max="1296" width="22.7109375" style="5" bestFit="1" customWidth="1"/>
    <col min="1297" max="1297" width="33" style="5" bestFit="1" customWidth="1"/>
    <col min="1298" max="1298" width="25.7109375" style="5" customWidth="1"/>
    <col min="1299" max="1300" width="16.7109375" style="5" customWidth="1"/>
    <col min="1301" max="1301" width="26.7109375" style="5" customWidth="1"/>
    <col min="1302" max="1541" width="9.28515625" style="5"/>
    <col min="1542" max="1542" width="71" style="5" customWidth="1"/>
    <col min="1543" max="1543" width="22.7109375" style="5" bestFit="1" customWidth="1"/>
    <col min="1544" max="1544" width="33" style="5" bestFit="1" customWidth="1"/>
    <col min="1545" max="1545" width="26.5703125" style="5" bestFit="1" customWidth="1"/>
    <col min="1546" max="1546" width="22.7109375" style="5" bestFit="1" customWidth="1"/>
    <col min="1547" max="1547" width="33" style="5" bestFit="1" customWidth="1"/>
    <col min="1548" max="1548" width="26.5703125" style="5" customWidth="1"/>
    <col min="1549" max="1549" width="22.7109375" style="5" bestFit="1" customWidth="1"/>
    <col min="1550" max="1551" width="33" style="5" bestFit="1" customWidth="1"/>
    <col min="1552" max="1552" width="22.7109375" style="5" bestFit="1" customWidth="1"/>
    <col min="1553" max="1553" width="33" style="5" bestFit="1" customWidth="1"/>
    <col min="1554" max="1554" width="25.7109375" style="5" customWidth="1"/>
    <col min="1555" max="1556" width="16.7109375" style="5" customWidth="1"/>
    <col min="1557" max="1557" width="26.7109375" style="5" customWidth="1"/>
    <col min="1558" max="1797" width="9.28515625" style="5"/>
    <col min="1798" max="1798" width="71" style="5" customWidth="1"/>
    <col min="1799" max="1799" width="22.7109375" style="5" bestFit="1" customWidth="1"/>
    <col min="1800" max="1800" width="33" style="5" bestFit="1" customWidth="1"/>
    <col min="1801" max="1801" width="26.5703125" style="5" bestFit="1" customWidth="1"/>
    <col min="1802" max="1802" width="22.7109375" style="5" bestFit="1" customWidth="1"/>
    <col min="1803" max="1803" width="33" style="5" bestFit="1" customWidth="1"/>
    <col min="1804" max="1804" width="26.5703125" style="5" customWidth="1"/>
    <col min="1805" max="1805" width="22.7109375" style="5" bestFit="1" customWidth="1"/>
    <col min="1806" max="1807" width="33" style="5" bestFit="1" customWidth="1"/>
    <col min="1808" max="1808" width="22.7109375" style="5" bestFit="1" customWidth="1"/>
    <col min="1809" max="1809" width="33" style="5" bestFit="1" customWidth="1"/>
    <col min="1810" max="1810" width="25.7109375" style="5" customWidth="1"/>
    <col min="1811" max="1812" width="16.7109375" style="5" customWidth="1"/>
    <col min="1813" max="1813" width="26.7109375" style="5" customWidth="1"/>
    <col min="1814" max="2053" width="9.28515625" style="5"/>
    <col min="2054" max="2054" width="71" style="5" customWidth="1"/>
    <col min="2055" max="2055" width="22.7109375" style="5" bestFit="1" customWidth="1"/>
    <col min="2056" max="2056" width="33" style="5" bestFit="1" customWidth="1"/>
    <col min="2057" max="2057" width="26.5703125" style="5" bestFit="1" customWidth="1"/>
    <col min="2058" max="2058" width="22.7109375" style="5" bestFit="1" customWidth="1"/>
    <col min="2059" max="2059" width="33" style="5" bestFit="1" customWidth="1"/>
    <col min="2060" max="2060" width="26.5703125" style="5" customWidth="1"/>
    <col min="2061" max="2061" width="22.7109375" style="5" bestFit="1" customWidth="1"/>
    <col min="2062" max="2063" width="33" style="5" bestFit="1" customWidth="1"/>
    <col min="2064" max="2064" width="22.7109375" style="5" bestFit="1" customWidth="1"/>
    <col min="2065" max="2065" width="33" style="5" bestFit="1" customWidth="1"/>
    <col min="2066" max="2066" width="25.7109375" style="5" customWidth="1"/>
    <col min="2067" max="2068" width="16.7109375" style="5" customWidth="1"/>
    <col min="2069" max="2069" width="26.7109375" style="5" customWidth="1"/>
    <col min="2070" max="2309" width="9.28515625" style="5"/>
    <col min="2310" max="2310" width="71" style="5" customWidth="1"/>
    <col min="2311" max="2311" width="22.7109375" style="5" bestFit="1" customWidth="1"/>
    <col min="2312" max="2312" width="33" style="5" bestFit="1" customWidth="1"/>
    <col min="2313" max="2313" width="26.5703125" style="5" bestFit="1" customWidth="1"/>
    <col min="2314" max="2314" width="22.7109375" style="5" bestFit="1" customWidth="1"/>
    <col min="2315" max="2315" width="33" style="5" bestFit="1" customWidth="1"/>
    <col min="2316" max="2316" width="26.5703125" style="5" customWidth="1"/>
    <col min="2317" max="2317" width="22.7109375" style="5" bestFit="1" customWidth="1"/>
    <col min="2318" max="2319" width="33" style="5" bestFit="1" customWidth="1"/>
    <col min="2320" max="2320" width="22.7109375" style="5" bestFit="1" customWidth="1"/>
    <col min="2321" max="2321" width="33" style="5" bestFit="1" customWidth="1"/>
    <col min="2322" max="2322" width="25.7109375" style="5" customWidth="1"/>
    <col min="2323" max="2324" width="16.7109375" style="5" customWidth="1"/>
    <col min="2325" max="2325" width="26.7109375" style="5" customWidth="1"/>
    <col min="2326" max="2565" width="9.28515625" style="5"/>
    <col min="2566" max="2566" width="71" style="5" customWidth="1"/>
    <col min="2567" max="2567" width="22.7109375" style="5" bestFit="1" customWidth="1"/>
    <col min="2568" max="2568" width="33" style="5" bestFit="1" customWidth="1"/>
    <col min="2569" max="2569" width="26.5703125" style="5" bestFit="1" customWidth="1"/>
    <col min="2570" max="2570" width="22.7109375" style="5" bestFit="1" customWidth="1"/>
    <col min="2571" max="2571" width="33" style="5" bestFit="1" customWidth="1"/>
    <col min="2572" max="2572" width="26.5703125" style="5" customWidth="1"/>
    <col min="2573" max="2573" width="22.7109375" style="5" bestFit="1" customWidth="1"/>
    <col min="2574" max="2575" width="33" style="5" bestFit="1" customWidth="1"/>
    <col min="2576" max="2576" width="22.7109375" style="5" bestFit="1" customWidth="1"/>
    <col min="2577" max="2577" width="33" style="5" bestFit="1" customWidth="1"/>
    <col min="2578" max="2578" width="25.7109375" style="5" customWidth="1"/>
    <col min="2579" max="2580" width="16.7109375" style="5" customWidth="1"/>
    <col min="2581" max="2581" width="26.7109375" style="5" customWidth="1"/>
    <col min="2582" max="2821" width="9.28515625" style="5"/>
    <col min="2822" max="2822" width="71" style="5" customWidth="1"/>
    <col min="2823" max="2823" width="22.7109375" style="5" bestFit="1" customWidth="1"/>
    <col min="2824" max="2824" width="33" style="5" bestFit="1" customWidth="1"/>
    <col min="2825" max="2825" width="26.5703125" style="5" bestFit="1" customWidth="1"/>
    <col min="2826" max="2826" width="22.7109375" style="5" bestFit="1" customWidth="1"/>
    <col min="2827" max="2827" width="33" style="5" bestFit="1" customWidth="1"/>
    <col min="2828" max="2828" width="26.5703125" style="5" customWidth="1"/>
    <col min="2829" max="2829" width="22.7109375" style="5" bestFit="1" customWidth="1"/>
    <col min="2830" max="2831" width="33" style="5" bestFit="1" customWidth="1"/>
    <col min="2832" max="2832" width="22.7109375" style="5" bestFit="1" customWidth="1"/>
    <col min="2833" max="2833" width="33" style="5" bestFit="1" customWidth="1"/>
    <col min="2834" max="2834" width="25.7109375" style="5" customWidth="1"/>
    <col min="2835" max="2836" width="16.7109375" style="5" customWidth="1"/>
    <col min="2837" max="2837" width="26.7109375" style="5" customWidth="1"/>
    <col min="2838" max="3077" width="9.28515625" style="5"/>
    <col min="3078" max="3078" width="71" style="5" customWidth="1"/>
    <col min="3079" max="3079" width="22.7109375" style="5" bestFit="1" customWidth="1"/>
    <col min="3080" max="3080" width="33" style="5" bestFit="1" customWidth="1"/>
    <col min="3081" max="3081" width="26.5703125" style="5" bestFit="1" customWidth="1"/>
    <col min="3082" max="3082" width="22.7109375" style="5" bestFit="1" customWidth="1"/>
    <col min="3083" max="3083" width="33" style="5" bestFit="1" customWidth="1"/>
    <col min="3084" max="3084" width="26.5703125" style="5" customWidth="1"/>
    <col min="3085" max="3085" width="22.7109375" style="5" bestFit="1" customWidth="1"/>
    <col min="3086" max="3087" width="33" style="5" bestFit="1" customWidth="1"/>
    <col min="3088" max="3088" width="22.7109375" style="5" bestFit="1" customWidth="1"/>
    <col min="3089" max="3089" width="33" style="5" bestFit="1" customWidth="1"/>
    <col min="3090" max="3090" width="25.7109375" style="5" customWidth="1"/>
    <col min="3091" max="3092" width="16.7109375" style="5" customWidth="1"/>
    <col min="3093" max="3093" width="26.7109375" style="5" customWidth="1"/>
    <col min="3094" max="3333" width="9.28515625" style="5"/>
    <col min="3334" max="3334" width="71" style="5" customWidth="1"/>
    <col min="3335" max="3335" width="22.7109375" style="5" bestFit="1" customWidth="1"/>
    <col min="3336" max="3336" width="33" style="5" bestFit="1" customWidth="1"/>
    <col min="3337" max="3337" width="26.5703125" style="5" bestFit="1" customWidth="1"/>
    <col min="3338" max="3338" width="22.7109375" style="5" bestFit="1" customWidth="1"/>
    <col min="3339" max="3339" width="33" style="5" bestFit="1" customWidth="1"/>
    <col min="3340" max="3340" width="26.5703125" style="5" customWidth="1"/>
    <col min="3341" max="3341" width="22.7109375" style="5" bestFit="1" customWidth="1"/>
    <col min="3342" max="3343" width="33" style="5" bestFit="1" customWidth="1"/>
    <col min="3344" max="3344" width="22.7109375" style="5" bestFit="1" customWidth="1"/>
    <col min="3345" max="3345" width="33" style="5" bestFit="1" customWidth="1"/>
    <col min="3346" max="3346" width="25.7109375" style="5" customWidth="1"/>
    <col min="3347" max="3348" width="16.7109375" style="5" customWidth="1"/>
    <col min="3349" max="3349" width="26.7109375" style="5" customWidth="1"/>
    <col min="3350" max="3589" width="9.28515625" style="5"/>
    <col min="3590" max="3590" width="71" style="5" customWidth="1"/>
    <col min="3591" max="3591" width="22.7109375" style="5" bestFit="1" customWidth="1"/>
    <col min="3592" max="3592" width="33" style="5" bestFit="1" customWidth="1"/>
    <col min="3593" max="3593" width="26.5703125" style="5" bestFit="1" customWidth="1"/>
    <col min="3594" max="3594" width="22.7109375" style="5" bestFit="1" customWidth="1"/>
    <col min="3595" max="3595" width="33" style="5" bestFit="1" customWidth="1"/>
    <col min="3596" max="3596" width="26.5703125" style="5" customWidth="1"/>
    <col min="3597" max="3597" width="22.7109375" style="5" bestFit="1" customWidth="1"/>
    <col min="3598" max="3599" width="33" style="5" bestFit="1" customWidth="1"/>
    <col min="3600" max="3600" width="22.7109375" style="5" bestFit="1" customWidth="1"/>
    <col min="3601" max="3601" width="33" style="5" bestFit="1" customWidth="1"/>
    <col min="3602" max="3602" width="25.7109375" style="5" customWidth="1"/>
    <col min="3603" max="3604" width="16.7109375" style="5" customWidth="1"/>
    <col min="3605" max="3605" width="26.7109375" style="5" customWidth="1"/>
    <col min="3606" max="3845" width="9.28515625" style="5"/>
    <col min="3846" max="3846" width="71" style="5" customWidth="1"/>
    <col min="3847" max="3847" width="22.7109375" style="5" bestFit="1" customWidth="1"/>
    <col min="3848" max="3848" width="33" style="5" bestFit="1" customWidth="1"/>
    <col min="3849" max="3849" width="26.5703125" style="5" bestFit="1" customWidth="1"/>
    <col min="3850" max="3850" width="22.7109375" style="5" bestFit="1" customWidth="1"/>
    <col min="3851" max="3851" width="33" style="5" bestFit="1" customWidth="1"/>
    <col min="3852" max="3852" width="26.5703125" style="5" customWidth="1"/>
    <col min="3853" max="3853" width="22.7109375" style="5" bestFit="1" customWidth="1"/>
    <col min="3854" max="3855" width="33" style="5" bestFit="1" customWidth="1"/>
    <col min="3856" max="3856" width="22.7109375" style="5" bestFit="1" customWidth="1"/>
    <col min="3857" max="3857" width="33" style="5" bestFit="1" customWidth="1"/>
    <col min="3858" max="3858" width="25.7109375" style="5" customWidth="1"/>
    <col min="3859" max="3860" width="16.7109375" style="5" customWidth="1"/>
    <col min="3861" max="3861" width="26.7109375" style="5" customWidth="1"/>
    <col min="3862" max="4101" width="9.28515625" style="5"/>
    <col min="4102" max="4102" width="71" style="5" customWidth="1"/>
    <col min="4103" max="4103" width="22.7109375" style="5" bestFit="1" customWidth="1"/>
    <col min="4104" max="4104" width="33" style="5" bestFit="1" customWidth="1"/>
    <col min="4105" max="4105" width="26.5703125" style="5" bestFit="1" customWidth="1"/>
    <col min="4106" max="4106" width="22.7109375" style="5" bestFit="1" customWidth="1"/>
    <col min="4107" max="4107" width="33" style="5" bestFit="1" customWidth="1"/>
    <col min="4108" max="4108" width="26.5703125" style="5" customWidth="1"/>
    <col min="4109" max="4109" width="22.7109375" style="5" bestFit="1" customWidth="1"/>
    <col min="4110" max="4111" width="33" style="5" bestFit="1" customWidth="1"/>
    <col min="4112" max="4112" width="22.7109375" style="5" bestFit="1" customWidth="1"/>
    <col min="4113" max="4113" width="33" style="5" bestFit="1" customWidth="1"/>
    <col min="4114" max="4114" width="25.7109375" style="5" customWidth="1"/>
    <col min="4115" max="4116" width="16.7109375" style="5" customWidth="1"/>
    <col min="4117" max="4117" width="26.7109375" style="5" customWidth="1"/>
    <col min="4118" max="4357" width="9.28515625" style="5"/>
    <col min="4358" max="4358" width="71" style="5" customWidth="1"/>
    <col min="4359" max="4359" width="22.7109375" style="5" bestFit="1" customWidth="1"/>
    <col min="4360" max="4360" width="33" style="5" bestFit="1" customWidth="1"/>
    <col min="4361" max="4361" width="26.5703125" style="5" bestFit="1" customWidth="1"/>
    <col min="4362" max="4362" width="22.7109375" style="5" bestFit="1" customWidth="1"/>
    <col min="4363" max="4363" width="33" style="5" bestFit="1" customWidth="1"/>
    <col min="4364" max="4364" width="26.5703125" style="5" customWidth="1"/>
    <col min="4365" max="4365" width="22.7109375" style="5" bestFit="1" customWidth="1"/>
    <col min="4366" max="4367" width="33" style="5" bestFit="1" customWidth="1"/>
    <col min="4368" max="4368" width="22.7109375" style="5" bestFit="1" customWidth="1"/>
    <col min="4369" max="4369" width="33" style="5" bestFit="1" customWidth="1"/>
    <col min="4370" max="4370" width="25.7109375" style="5" customWidth="1"/>
    <col min="4371" max="4372" width="16.7109375" style="5" customWidth="1"/>
    <col min="4373" max="4373" width="26.7109375" style="5" customWidth="1"/>
    <col min="4374" max="4613" width="9.28515625" style="5"/>
    <col min="4614" max="4614" width="71" style="5" customWidth="1"/>
    <col min="4615" max="4615" width="22.7109375" style="5" bestFit="1" customWidth="1"/>
    <col min="4616" max="4616" width="33" style="5" bestFit="1" customWidth="1"/>
    <col min="4617" max="4617" width="26.5703125" style="5" bestFit="1" customWidth="1"/>
    <col min="4618" max="4618" width="22.7109375" style="5" bestFit="1" customWidth="1"/>
    <col min="4619" max="4619" width="33" style="5" bestFit="1" customWidth="1"/>
    <col min="4620" max="4620" width="26.5703125" style="5" customWidth="1"/>
    <col min="4621" max="4621" width="22.7109375" style="5" bestFit="1" customWidth="1"/>
    <col min="4622" max="4623" width="33" style="5" bestFit="1" customWidth="1"/>
    <col min="4624" max="4624" width="22.7109375" style="5" bestFit="1" customWidth="1"/>
    <col min="4625" max="4625" width="33" style="5" bestFit="1" customWidth="1"/>
    <col min="4626" max="4626" width="25.7109375" style="5" customWidth="1"/>
    <col min="4627" max="4628" width="16.7109375" style="5" customWidth="1"/>
    <col min="4629" max="4629" width="26.7109375" style="5" customWidth="1"/>
    <col min="4630" max="4869" width="9.28515625" style="5"/>
    <col min="4870" max="4870" width="71" style="5" customWidth="1"/>
    <col min="4871" max="4871" width="22.7109375" style="5" bestFit="1" customWidth="1"/>
    <col min="4872" max="4872" width="33" style="5" bestFit="1" customWidth="1"/>
    <col min="4873" max="4873" width="26.5703125" style="5" bestFit="1" customWidth="1"/>
    <col min="4874" max="4874" width="22.7109375" style="5" bestFit="1" customWidth="1"/>
    <col min="4875" max="4875" width="33" style="5" bestFit="1" customWidth="1"/>
    <col min="4876" max="4876" width="26.5703125" style="5" customWidth="1"/>
    <col min="4877" max="4877" width="22.7109375" style="5" bestFit="1" customWidth="1"/>
    <col min="4878" max="4879" width="33" style="5" bestFit="1" customWidth="1"/>
    <col min="4880" max="4880" width="22.7109375" style="5" bestFit="1" customWidth="1"/>
    <col min="4881" max="4881" width="33" style="5" bestFit="1" customWidth="1"/>
    <col min="4882" max="4882" width="25.7109375" style="5" customWidth="1"/>
    <col min="4883" max="4884" width="16.7109375" style="5" customWidth="1"/>
    <col min="4885" max="4885" width="26.7109375" style="5" customWidth="1"/>
    <col min="4886" max="5125" width="9.28515625" style="5"/>
    <col min="5126" max="5126" width="71" style="5" customWidth="1"/>
    <col min="5127" max="5127" width="22.7109375" style="5" bestFit="1" customWidth="1"/>
    <col min="5128" max="5128" width="33" style="5" bestFit="1" customWidth="1"/>
    <col min="5129" max="5129" width="26.5703125" style="5" bestFit="1" customWidth="1"/>
    <col min="5130" max="5130" width="22.7109375" style="5" bestFit="1" customWidth="1"/>
    <col min="5131" max="5131" width="33" style="5" bestFit="1" customWidth="1"/>
    <col min="5132" max="5132" width="26.5703125" style="5" customWidth="1"/>
    <col min="5133" max="5133" width="22.7109375" style="5" bestFit="1" customWidth="1"/>
    <col min="5134" max="5135" width="33" style="5" bestFit="1" customWidth="1"/>
    <col min="5136" max="5136" width="22.7109375" style="5" bestFit="1" customWidth="1"/>
    <col min="5137" max="5137" width="33" style="5" bestFit="1" customWidth="1"/>
    <col min="5138" max="5138" width="25.7109375" style="5" customWidth="1"/>
    <col min="5139" max="5140" width="16.7109375" style="5" customWidth="1"/>
    <col min="5141" max="5141" width="26.7109375" style="5" customWidth="1"/>
    <col min="5142" max="5381" width="9.28515625" style="5"/>
    <col min="5382" max="5382" width="71" style="5" customWidth="1"/>
    <col min="5383" max="5383" width="22.7109375" style="5" bestFit="1" customWidth="1"/>
    <col min="5384" max="5384" width="33" style="5" bestFit="1" customWidth="1"/>
    <col min="5385" max="5385" width="26.5703125" style="5" bestFit="1" customWidth="1"/>
    <col min="5386" max="5386" width="22.7109375" style="5" bestFit="1" customWidth="1"/>
    <col min="5387" max="5387" width="33" style="5" bestFit="1" customWidth="1"/>
    <col min="5388" max="5388" width="26.5703125" style="5" customWidth="1"/>
    <col min="5389" max="5389" width="22.7109375" style="5" bestFit="1" customWidth="1"/>
    <col min="5390" max="5391" width="33" style="5" bestFit="1" customWidth="1"/>
    <col min="5392" max="5392" width="22.7109375" style="5" bestFit="1" customWidth="1"/>
    <col min="5393" max="5393" width="33" style="5" bestFit="1" customWidth="1"/>
    <col min="5394" max="5394" width="25.7109375" style="5" customWidth="1"/>
    <col min="5395" max="5396" width="16.7109375" style="5" customWidth="1"/>
    <col min="5397" max="5397" width="26.7109375" style="5" customWidth="1"/>
    <col min="5398" max="5637" width="9.28515625" style="5"/>
    <col min="5638" max="5638" width="71" style="5" customWidth="1"/>
    <col min="5639" max="5639" width="22.7109375" style="5" bestFit="1" customWidth="1"/>
    <col min="5640" max="5640" width="33" style="5" bestFit="1" customWidth="1"/>
    <col min="5641" max="5641" width="26.5703125" style="5" bestFit="1" customWidth="1"/>
    <col min="5642" max="5642" width="22.7109375" style="5" bestFit="1" customWidth="1"/>
    <col min="5643" max="5643" width="33" style="5" bestFit="1" customWidth="1"/>
    <col min="5644" max="5644" width="26.5703125" style="5" customWidth="1"/>
    <col min="5645" max="5645" width="22.7109375" style="5" bestFit="1" customWidth="1"/>
    <col min="5646" max="5647" width="33" style="5" bestFit="1" customWidth="1"/>
    <col min="5648" max="5648" width="22.7109375" style="5" bestFit="1" customWidth="1"/>
    <col min="5649" max="5649" width="33" style="5" bestFit="1" customWidth="1"/>
    <col min="5650" max="5650" width="25.7109375" style="5" customWidth="1"/>
    <col min="5651" max="5652" width="16.7109375" style="5" customWidth="1"/>
    <col min="5653" max="5653" width="26.7109375" style="5" customWidth="1"/>
    <col min="5654" max="5893" width="9.28515625" style="5"/>
    <col min="5894" max="5894" width="71" style="5" customWidth="1"/>
    <col min="5895" max="5895" width="22.7109375" style="5" bestFit="1" customWidth="1"/>
    <col min="5896" max="5896" width="33" style="5" bestFit="1" customWidth="1"/>
    <col min="5897" max="5897" width="26.5703125" style="5" bestFit="1" customWidth="1"/>
    <col min="5898" max="5898" width="22.7109375" style="5" bestFit="1" customWidth="1"/>
    <col min="5899" max="5899" width="33" style="5" bestFit="1" customWidth="1"/>
    <col min="5900" max="5900" width="26.5703125" style="5" customWidth="1"/>
    <col min="5901" max="5901" width="22.7109375" style="5" bestFit="1" customWidth="1"/>
    <col min="5902" max="5903" width="33" style="5" bestFit="1" customWidth="1"/>
    <col min="5904" max="5904" width="22.7109375" style="5" bestFit="1" customWidth="1"/>
    <col min="5905" max="5905" width="33" style="5" bestFit="1" customWidth="1"/>
    <col min="5906" max="5906" width="25.7109375" style="5" customWidth="1"/>
    <col min="5907" max="5908" width="16.7109375" style="5" customWidth="1"/>
    <col min="5909" max="5909" width="26.7109375" style="5" customWidth="1"/>
    <col min="5910" max="6149" width="9.28515625" style="5"/>
    <col min="6150" max="6150" width="71" style="5" customWidth="1"/>
    <col min="6151" max="6151" width="22.7109375" style="5" bestFit="1" customWidth="1"/>
    <col min="6152" max="6152" width="33" style="5" bestFit="1" customWidth="1"/>
    <col min="6153" max="6153" width="26.5703125" style="5" bestFit="1" customWidth="1"/>
    <col min="6154" max="6154" width="22.7109375" style="5" bestFit="1" customWidth="1"/>
    <col min="6155" max="6155" width="33" style="5" bestFit="1" customWidth="1"/>
    <col min="6156" max="6156" width="26.5703125" style="5" customWidth="1"/>
    <col min="6157" max="6157" width="22.7109375" style="5" bestFit="1" customWidth="1"/>
    <col min="6158" max="6159" width="33" style="5" bestFit="1" customWidth="1"/>
    <col min="6160" max="6160" width="22.7109375" style="5" bestFit="1" customWidth="1"/>
    <col min="6161" max="6161" width="33" style="5" bestFit="1" customWidth="1"/>
    <col min="6162" max="6162" width="25.7109375" style="5" customWidth="1"/>
    <col min="6163" max="6164" width="16.7109375" style="5" customWidth="1"/>
    <col min="6165" max="6165" width="26.7109375" style="5" customWidth="1"/>
    <col min="6166" max="6405" width="9.28515625" style="5"/>
    <col min="6406" max="6406" width="71" style="5" customWidth="1"/>
    <col min="6407" max="6407" width="22.7109375" style="5" bestFit="1" customWidth="1"/>
    <col min="6408" max="6408" width="33" style="5" bestFit="1" customWidth="1"/>
    <col min="6409" max="6409" width="26.5703125" style="5" bestFit="1" customWidth="1"/>
    <col min="6410" max="6410" width="22.7109375" style="5" bestFit="1" customWidth="1"/>
    <col min="6411" max="6411" width="33" style="5" bestFit="1" customWidth="1"/>
    <col min="6412" max="6412" width="26.5703125" style="5" customWidth="1"/>
    <col min="6413" max="6413" width="22.7109375" style="5" bestFit="1" customWidth="1"/>
    <col min="6414" max="6415" width="33" style="5" bestFit="1" customWidth="1"/>
    <col min="6416" max="6416" width="22.7109375" style="5" bestFit="1" customWidth="1"/>
    <col min="6417" max="6417" width="33" style="5" bestFit="1" customWidth="1"/>
    <col min="6418" max="6418" width="25.7109375" style="5" customWidth="1"/>
    <col min="6419" max="6420" width="16.7109375" style="5" customWidth="1"/>
    <col min="6421" max="6421" width="26.7109375" style="5" customWidth="1"/>
    <col min="6422" max="6661" width="9.28515625" style="5"/>
    <col min="6662" max="6662" width="71" style="5" customWidth="1"/>
    <col min="6663" max="6663" width="22.7109375" style="5" bestFit="1" customWidth="1"/>
    <col min="6664" max="6664" width="33" style="5" bestFit="1" customWidth="1"/>
    <col min="6665" max="6665" width="26.5703125" style="5" bestFit="1" customWidth="1"/>
    <col min="6666" max="6666" width="22.7109375" style="5" bestFit="1" customWidth="1"/>
    <col min="6667" max="6667" width="33" style="5" bestFit="1" customWidth="1"/>
    <col min="6668" max="6668" width="26.5703125" style="5" customWidth="1"/>
    <col min="6669" max="6669" width="22.7109375" style="5" bestFit="1" customWidth="1"/>
    <col min="6670" max="6671" width="33" style="5" bestFit="1" customWidth="1"/>
    <col min="6672" max="6672" width="22.7109375" style="5" bestFit="1" customWidth="1"/>
    <col min="6673" max="6673" width="33" style="5" bestFit="1" customWidth="1"/>
    <col min="6674" max="6674" width="25.7109375" style="5" customWidth="1"/>
    <col min="6675" max="6676" width="16.7109375" style="5" customWidth="1"/>
    <col min="6677" max="6677" width="26.7109375" style="5" customWidth="1"/>
    <col min="6678" max="6917" width="9.28515625" style="5"/>
    <col min="6918" max="6918" width="71" style="5" customWidth="1"/>
    <col min="6919" max="6919" width="22.7109375" style="5" bestFit="1" customWidth="1"/>
    <col min="6920" max="6920" width="33" style="5" bestFit="1" customWidth="1"/>
    <col min="6921" max="6921" width="26.5703125" style="5" bestFit="1" customWidth="1"/>
    <col min="6922" max="6922" width="22.7109375" style="5" bestFit="1" customWidth="1"/>
    <col min="6923" max="6923" width="33" style="5" bestFit="1" customWidth="1"/>
    <col min="6924" max="6924" width="26.5703125" style="5" customWidth="1"/>
    <col min="6925" max="6925" width="22.7109375" style="5" bestFit="1" customWidth="1"/>
    <col min="6926" max="6927" width="33" style="5" bestFit="1" customWidth="1"/>
    <col min="6928" max="6928" width="22.7109375" style="5" bestFit="1" customWidth="1"/>
    <col min="6929" max="6929" width="33" style="5" bestFit="1" customWidth="1"/>
    <col min="6930" max="6930" width="25.7109375" style="5" customWidth="1"/>
    <col min="6931" max="6932" width="16.7109375" style="5" customWidth="1"/>
    <col min="6933" max="6933" width="26.7109375" style="5" customWidth="1"/>
    <col min="6934" max="7173" width="9.28515625" style="5"/>
    <col min="7174" max="7174" width="71" style="5" customWidth="1"/>
    <col min="7175" max="7175" width="22.7109375" style="5" bestFit="1" customWidth="1"/>
    <col min="7176" max="7176" width="33" style="5" bestFit="1" customWidth="1"/>
    <col min="7177" max="7177" width="26.5703125" style="5" bestFit="1" customWidth="1"/>
    <col min="7178" max="7178" width="22.7109375" style="5" bestFit="1" customWidth="1"/>
    <col min="7179" max="7179" width="33" style="5" bestFit="1" customWidth="1"/>
    <col min="7180" max="7180" width="26.5703125" style="5" customWidth="1"/>
    <col min="7181" max="7181" width="22.7109375" style="5" bestFit="1" customWidth="1"/>
    <col min="7182" max="7183" width="33" style="5" bestFit="1" customWidth="1"/>
    <col min="7184" max="7184" width="22.7109375" style="5" bestFit="1" customWidth="1"/>
    <col min="7185" max="7185" width="33" style="5" bestFit="1" customWidth="1"/>
    <col min="7186" max="7186" width="25.7109375" style="5" customWidth="1"/>
    <col min="7187" max="7188" width="16.7109375" style="5" customWidth="1"/>
    <col min="7189" max="7189" width="26.7109375" style="5" customWidth="1"/>
    <col min="7190" max="7429" width="9.28515625" style="5"/>
    <col min="7430" max="7430" width="71" style="5" customWidth="1"/>
    <col min="7431" max="7431" width="22.7109375" style="5" bestFit="1" customWidth="1"/>
    <col min="7432" max="7432" width="33" style="5" bestFit="1" customWidth="1"/>
    <col min="7433" max="7433" width="26.5703125" style="5" bestFit="1" customWidth="1"/>
    <col min="7434" max="7434" width="22.7109375" style="5" bestFit="1" customWidth="1"/>
    <col min="7435" max="7435" width="33" style="5" bestFit="1" customWidth="1"/>
    <col min="7436" max="7436" width="26.5703125" style="5" customWidth="1"/>
    <col min="7437" max="7437" width="22.7109375" style="5" bestFit="1" customWidth="1"/>
    <col min="7438" max="7439" width="33" style="5" bestFit="1" customWidth="1"/>
    <col min="7440" max="7440" width="22.7109375" style="5" bestFit="1" customWidth="1"/>
    <col min="7441" max="7441" width="33" style="5" bestFit="1" customWidth="1"/>
    <col min="7442" max="7442" width="25.7109375" style="5" customWidth="1"/>
    <col min="7443" max="7444" width="16.7109375" style="5" customWidth="1"/>
    <col min="7445" max="7445" width="26.7109375" style="5" customWidth="1"/>
    <col min="7446" max="7685" width="9.28515625" style="5"/>
    <col min="7686" max="7686" width="71" style="5" customWidth="1"/>
    <col min="7687" max="7687" width="22.7109375" style="5" bestFit="1" customWidth="1"/>
    <col min="7688" max="7688" width="33" style="5" bestFit="1" customWidth="1"/>
    <col min="7689" max="7689" width="26.5703125" style="5" bestFit="1" customWidth="1"/>
    <col min="7690" max="7690" width="22.7109375" style="5" bestFit="1" customWidth="1"/>
    <col min="7691" max="7691" width="33" style="5" bestFit="1" customWidth="1"/>
    <col min="7692" max="7692" width="26.5703125" style="5" customWidth="1"/>
    <col min="7693" max="7693" width="22.7109375" style="5" bestFit="1" customWidth="1"/>
    <col min="7694" max="7695" width="33" style="5" bestFit="1" customWidth="1"/>
    <col min="7696" max="7696" width="22.7109375" style="5" bestFit="1" customWidth="1"/>
    <col min="7697" max="7697" width="33" style="5" bestFit="1" customWidth="1"/>
    <col min="7698" max="7698" width="25.7109375" style="5" customWidth="1"/>
    <col min="7699" max="7700" width="16.7109375" style="5" customWidth="1"/>
    <col min="7701" max="7701" width="26.7109375" style="5" customWidth="1"/>
    <col min="7702" max="7941" width="9.28515625" style="5"/>
    <col min="7942" max="7942" width="71" style="5" customWidth="1"/>
    <col min="7943" max="7943" width="22.7109375" style="5" bestFit="1" customWidth="1"/>
    <col min="7944" max="7944" width="33" style="5" bestFit="1" customWidth="1"/>
    <col min="7945" max="7945" width="26.5703125" style="5" bestFit="1" customWidth="1"/>
    <col min="7946" max="7946" width="22.7109375" style="5" bestFit="1" customWidth="1"/>
    <col min="7947" max="7947" width="33" style="5" bestFit="1" customWidth="1"/>
    <col min="7948" max="7948" width="26.5703125" style="5" customWidth="1"/>
    <col min="7949" max="7949" width="22.7109375" style="5" bestFit="1" customWidth="1"/>
    <col min="7950" max="7951" width="33" style="5" bestFit="1" customWidth="1"/>
    <col min="7952" max="7952" width="22.7109375" style="5" bestFit="1" customWidth="1"/>
    <col min="7953" max="7953" width="33" style="5" bestFit="1" customWidth="1"/>
    <col min="7954" max="7954" width="25.7109375" style="5" customWidth="1"/>
    <col min="7955" max="7956" width="16.7109375" style="5" customWidth="1"/>
    <col min="7957" max="7957" width="26.7109375" style="5" customWidth="1"/>
    <col min="7958" max="8197" width="9.28515625" style="5"/>
    <col min="8198" max="8198" width="71" style="5" customWidth="1"/>
    <col min="8199" max="8199" width="22.7109375" style="5" bestFit="1" customWidth="1"/>
    <col min="8200" max="8200" width="33" style="5" bestFit="1" customWidth="1"/>
    <col min="8201" max="8201" width="26.5703125" style="5" bestFit="1" customWidth="1"/>
    <col min="8202" max="8202" width="22.7109375" style="5" bestFit="1" customWidth="1"/>
    <col min="8203" max="8203" width="33" style="5" bestFit="1" customWidth="1"/>
    <col min="8204" max="8204" width="26.5703125" style="5" customWidth="1"/>
    <col min="8205" max="8205" width="22.7109375" style="5" bestFit="1" customWidth="1"/>
    <col min="8206" max="8207" width="33" style="5" bestFit="1" customWidth="1"/>
    <col min="8208" max="8208" width="22.7109375" style="5" bestFit="1" customWidth="1"/>
    <col min="8209" max="8209" width="33" style="5" bestFit="1" customWidth="1"/>
    <col min="8210" max="8210" width="25.7109375" style="5" customWidth="1"/>
    <col min="8211" max="8212" width="16.7109375" style="5" customWidth="1"/>
    <col min="8213" max="8213" width="26.7109375" style="5" customWidth="1"/>
    <col min="8214" max="8453" width="9.28515625" style="5"/>
    <col min="8454" max="8454" width="71" style="5" customWidth="1"/>
    <col min="8455" max="8455" width="22.7109375" style="5" bestFit="1" customWidth="1"/>
    <col min="8456" max="8456" width="33" style="5" bestFit="1" customWidth="1"/>
    <col min="8457" max="8457" width="26.5703125" style="5" bestFit="1" customWidth="1"/>
    <col min="8458" max="8458" width="22.7109375" style="5" bestFit="1" customWidth="1"/>
    <col min="8459" max="8459" width="33" style="5" bestFit="1" customWidth="1"/>
    <col min="8460" max="8460" width="26.5703125" style="5" customWidth="1"/>
    <col min="8461" max="8461" width="22.7109375" style="5" bestFit="1" customWidth="1"/>
    <col min="8462" max="8463" width="33" style="5" bestFit="1" customWidth="1"/>
    <col min="8464" max="8464" width="22.7109375" style="5" bestFit="1" customWidth="1"/>
    <col min="8465" max="8465" width="33" style="5" bestFit="1" customWidth="1"/>
    <col min="8466" max="8466" width="25.7109375" style="5" customWidth="1"/>
    <col min="8467" max="8468" width="16.7109375" style="5" customWidth="1"/>
    <col min="8469" max="8469" width="26.7109375" style="5" customWidth="1"/>
    <col min="8470" max="8709" width="9.28515625" style="5"/>
    <col min="8710" max="8710" width="71" style="5" customWidth="1"/>
    <col min="8711" max="8711" width="22.7109375" style="5" bestFit="1" customWidth="1"/>
    <col min="8712" max="8712" width="33" style="5" bestFit="1" customWidth="1"/>
    <col min="8713" max="8713" width="26.5703125" style="5" bestFit="1" customWidth="1"/>
    <col min="8714" max="8714" width="22.7109375" style="5" bestFit="1" customWidth="1"/>
    <col min="8715" max="8715" width="33" style="5" bestFit="1" customWidth="1"/>
    <col min="8716" max="8716" width="26.5703125" style="5" customWidth="1"/>
    <col min="8717" max="8717" width="22.7109375" style="5" bestFit="1" customWidth="1"/>
    <col min="8718" max="8719" width="33" style="5" bestFit="1" customWidth="1"/>
    <col min="8720" max="8720" width="22.7109375" style="5" bestFit="1" customWidth="1"/>
    <col min="8721" max="8721" width="33" style="5" bestFit="1" customWidth="1"/>
    <col min="8722" max="8722" width="25.7109375" style="5" customWidth="1"/>
    <col min="8723" max="8724" width="16.7109375" style="5" customWidth="1"/>
    <col min="8725" max="8725" width="26.7109375" style="5" customWidth="1"/>
    <col min="8726" max="8965" width="9.28515625" style="5"/>
    <col min="8966" max="8966" width="71" style="5" customWidth="1"/>
    <col min="8967" max="8967" width="22.7109375" style="5" bestFit="1" customWidth="1"/>
    <col min="8968" max="8968" width="33" style="5" bestFit="1" customWidth="1"/>
    <col min="8969" max="8969" width="26.5703125" style="5" bestFit="1" customWidth="1"/>
    <col min="8970" max="8970" width="22.7109375" style="5" bestFit="1" customWidth="1"/>
    <col min="8971" max="8971" width="33" style="5" bestFit="1" customWidth="1"/>
    <col min="8972" max="8972" width="26.5703125" style="5" customWidth="1"/>
    <col min="8973" max="8973" width="22.7109375" style="5" bestFit="1" customWidth="1"/>
    <col min="8974" max="8975" width="33" style="5" bestFit="1" customWidth="1"/>
    <col min="8976" max="8976" width="22.7109375" style="5" bestFit="1" customWidth="1"/>
    <col min="8977" max="8977" width="33" style="5" bestFit="1" customWidth="1"/>
    <col min="8978" max="8978" width="25.7109375" style="5" customWidth="1"/>
    <col min="8979" max="8980" width="16.7109375" style="5" customWidth="1"/>
    <col min="8981" max="8981" width="26.7109375" style="5" customWidth="1"/>
    <col min="8982" max="9221" width="9.28515625" style="5"/>
    <col min="9222" max="9222" width="71" style="5" customWidth="1"/>
    <col min="9223" max="9223" width="22.7109375" style="5" bestFit="1" customWidth="1"/>
    <col min="9224" max="9224" width="33" style="5" bestFit="1" customWidth="1"/>
    <col min="9225" max="9225" width="26.5703125" style="5" bestFit="1" customWidth="1"/>
    <col min="9226" max="9226" width="22.7109375" style="5" bestFit="1" customWidth="1"/>
    <col min="9227" max="9227" width="33" style="5" bestFit="1" customWidth="1"/>
    <col min="9228" max="9228" width="26.5703125" style="5" customWidth="1"/>
    <col min="9229" max="9229" width="22.7109375" style="5" bestFit="1" customWidth="1"/>
    <col min="9230" max="9231" width="33" style="5" bestFit="1" customWidth="1"/>
    <col min="9232" max="9232" width="22.7109375" style="5" bestFit="1" customWidth="1"/>
    <col min="9233" max="9233" width="33" style="5" bestFit="1" customWidth="1"/>
    <col min="9234" max="9234" width="25.7109375" style="5" customWidth="1"/>
    <col min="9235" max="9236" width="16.7109375" style="5" customWidth="1"/>
    <col min="9237" max="9237" width="26.7109375" style="5" customWidth="1"/>
    <col min="9238" max="9477" width="9.28515625" style="5"/>
    <col min="9478" max="9478" width="71" style="5" customWidth="1"/>
    <col min="9479" max="9479" width="22.7109375" style="5" bestFit="1" customWidth="1"/>
    <col min="9480" max="9480" width="33" style="5" bestFit="1" customWidth="1"/>
    <col min="9481" max="9481" width="26.5703125" style="5" bestFit="1" customWidth="1"/>
    <col min="9482" max="9482" width="22.7109375" style="5" bestFit="1" customWidth="1"/>
    <col min="9483" max="9483" width="33" style="5" bestFit="1" customWidth="1"/>
    <col min="9484" max="9484" width="26.5703125" style="5" customWidth="1"/>
    <col min="9485" max="9485" width="22.7109375" style="5" bestFit="1" customWidth="1"/>
    <col min="9486" max="9487" width="33" style="5" bestFit="1" customWidth="1"/>
    <col min="9488" max="9488" width="22.7109375" style="5" bestFit="1" customWidth="1"/>
    <col min="9489" max="9489" width="33" style="5" bestFit="1" customWidth="1"/>
    <col min="9490" max="9490" width="25.7109375" style="5" customWidth="1"/>
    <col min="9491" max="9492" width="16.7109375" style="5" customWidth="1"/>
    <col min="9493" max="9493" width="26.7109375" style="5" customWidth="1"/>
    <col min="9494" max="9733" width="9.28515625" style="5"/>
    <col min="9734" max="9734" width="71" style="5" customWidth="1"/>
    <col min="9735" max="9735" width="22.7109375" style="5" bestFit="1" customWidth="1"/>
    <col min="9736" max="9736" width="33" style="5" bestFit="1" customWidth="1"/>
    <col min="9737" max="9737" width="26.5703125" style="5" bestFit="1" customWidth="1"/>
    <col min="9738" max="9738" width="22.7109375" style="5" bestFit="1" customWidth="1"/>
    <col min="9739" max="9739" width="33" style="5" bestFit="1" customWidth="1"/>
    <col min="9740" max="9740" width="26.5703125" style="5" customWidth="1"/>
    <col min="9741" max="9741" width="22.7109375" style="5" bestFit="1" customWidth="1"/>
    <col min="9742" max="9743" width="33" style="5" bestFit="1" customWidth="1"/>
    <col min="9744" max="9744" width="22.7109375" style="5" bestFit="1" customWidth="1"/>
    <col min="9745" max="9745" width="33" style="5" bestFit="1" customWidth="1"/>
    <col min="9746" max="9746" width="25.7109375" style="5" customWidth="1"/>
    <col min="9747" max="9748" width="16.7109375" style="5" customWidth="1"/>
    <col min="9749" max="9749" width="26.7109375" style="5" customWidth="1"/>
    <col min="9750" max="9989" width="9.28515625" style="5"/>
    <col min="9990" max="9990" width="71" style="5" customWidth="1"/>
    <col min="9991" max="9991" width="22.7109375" style="5" bestFit="1" customWidth="1"/>
    <col min="9992" max="9992" width="33" style="5" bestFit="1" customWidth="1"/>
    <col min="9993" max="9993" width="26.5703125" style="5" bestFit="1" customWidth="1"/>
    <col min="9994" max="9994" width="22.7109375" style="5" bestFit="1" customWidth="1"/>
    <col min="9995" max="9995" width="33" style="5" bestFit="1" customWidth="1"/>
    <col min="9996" max="9996" width="26.5703125" style="5" customWidth="1"/>
    <col min="9997" max="9997" width="22.7109375" style="5" bestFit="1" customWidth="1"/>
    <col min="9998" max="9999" width="33" style="5" bestFit="1" customWidth="1"/>
    <col min="10000" max="10000" width="22.7109375" style="5" bestFit="1" customWidth="1"/>
    <col min="10001" max="10001" width="33" style="5" bestFit="1" customWidth="1"/>
    <col min="10002" max="10002" width="25.7109375" style="5" customWidth="1"/>
    <col min="10003" max="10004" width="16.7109375" style="5" customWidth="1"/>
    <col min="10005" max="10005" width="26.7109375" style="5" customWidth="1"/>
    <col min="10006" max="10245" width="9.28515625" style="5"/>
    <col min="10246" max="10246" width="71" style="5" customWidth="1"/>
    <col min="10247" max="10247" width="22.7109375" style="5" bestFit="1" customWidth="1"/>
    <col min="10248" max="10248" width="33" style="5" bestFit="1" customWidth="1"/>
    <col min="10249" max="10249" width="26.5703125" style="5" bestFit="1" customWidth="1"/>
    <col min="10250" max="10250" width="22.7109375" style="5" bestFit="1" customWidth="1"/>
    <col min="10251" max="10251" width="33" style="5" bestFit="1" customWidth="1"/>
    <col min="10252" max="10252" width="26.5703125" style="5" customWidth="1"/>
    <col min="10253" max="10253" width="22.7109375" style="5" bestFit="1" customWidth="1"/>
    <col min="10254" max="10255" width="33" style="5" bestFit="1" customWidth="1"/>
    <col min="10256" max="10256" width="22.7109375" style="5" bestFit="1" customWidth="1"/>
    <col min="10257" max="10257" width="33" style="5" bestFit="1" customWidth="1"/>
    <col min="10258" max="10258" width="25.7109375" style="5" customWidth="1"/>
    <col min="10259" max="10260" width="16.7109375" style="5" customWidth="1"/>
    <col min="10261" max="10261" width="26.7109375" style="5" customWidth="1"/>
    <col min="10262" max="10501" width="9.28515625" style="5"/>
    <col min="10502" max="10502" width="71" style="5" customWidth="1"/>
    <col min="10503" max="10503" width="22.7109375" style="5" bestFit="1" customWidth="1"/>
    <col min="10504" max="10504" width="33" style="5" bestFit="1" customWidth="1"/>
    <col min="10505" max="10505" width="26.5703125" style="5" bestFit="1" customWidth="1"/>
    <col min="10506" max="10506" width="22.7109375" style="5" bestFit="1" customWidth="1"/>
    <col min="10507" max="10507" width="33" style="5" bestFit="1" customWidth="1"/>
    <col min="10508" max="10508" width="26.5703125" style="5" customWidth="1"/>
    <col min="10509" max="10509" width="22.7109375" style="5" bestFit="1" customWidth="1"/>
    <col min="10510" max="10511" width="33" style="5" bestFit="1" customWidth="1"/>
    <col min="10512" max="10512" width="22.7109375" style="5" bestFit="1" customWidth="1"/>
    <col min="10513" max="10513" width="33" style="5" bestFit="1" customWidth="1"/>
    <col min="10514" max="10514" width="25.7109375" style="5" customWidth="1"/>
    <col min="10515" max="10516" width="16.7109375" style="5" customWidth="1"/>
    <col min="10517" max="10517" width="26.7109375" style="5" customWidth="1"/>
    <col min="10518" max="10757" width="9.28515625" style="5"/>
    <col min="10758" max="10758" width="71" style="5" customWidth="1"/>
    <col min="10759" max="10759" width="22.7109375" style="5" bestFit="1" customWidth="1"/>
    <col min="10760" max="10760" width="33" style="5" bestFit="1" customWidth="1"/>
    <col min="10761" max="10761" width="26.5703125" style="5" bestFit="1" customWidth="1"/>
    <col min="10762" max="10762" width="22.7109375" style="5" bestFit="1" customWidth="1"/>
    <col min="10763" max="10763" width="33" style="5" bestFit="1" customWidth="1"/>
    <col min="10764" max="10764" width="26.5703125" style="5" customWidth="1"/>
    <col min="10765" max="10765" width="22.7109375" style="5" bestFit="1" customWidth="1"/>
    <col min="10766" max="10767" width="33" style="5" bestFit="1" customWidth="1"/>
    <col min="10768" max="10768" width="22.7109375" style="5" bestFit="1" customWidth="1"/>
    <col min="10769" max="10769" width="33" style="5" bestFit="1" customWidth="1"/>
    <col min="10770" max="10770" width="25.7109375" style="5" customWidth="1"/>
    <col min="10771" max="10772" width="16.7109375" style="5" customWidth="1"/>
    <col min="10773" max="10773" width="26.7109375" style="5" customWidth="1"/>
    <col min="10774" max="11013" width="9.28515625" style="5"/>
    <col min="11014" max="11014" width="71" style="5" customWidth="1"/>
    <col min="11015" max="11015" width="22.7109375" style="5" bestFit="1" customWidth="1"/>
    <col min="11016" max="11016" width="33" style="5" bestFit="1" customWidth="1"/>
    <col min="11017" max="11017" width="26.5703125" style="5" bestFit="1" customWidth="1"/>
    <col min="11018" max="11018" width="22.7109375" style="5" bestFit="1" customWidth="1"/>
    <col min="11019" max="11019" width="33" style="5" bestFit="1" customWidth="1"/>
    <col min="11020" max="11020" width="26.5703125" style="5" customWidth="1"/>
    <col min="11021" max="11021" width="22.7109375" style="5" bestFit="1" customWidth="1"/>
    <col min="11022" max="11023" width="33" style="5" bestFit="1" customWidth="1"/>
    <col min="11024" max="11024" width="22.7109375" style="5" bestFit="1" customWidth="1"/>
    <col min="11025" max="11025" width="33" style="5" bestFit="1" customWidth="1"/>
    <col min="11026" max="11026" width="25.7109375" style="5" customWidth="1"/>
    <col min="11027" max="11028" width="16.7109375" style="5" customWidth="1"/>
    <col min="11029" max="11029" width="26.7109375" style="5" customWidth="1"/>
    <col min="11030" max="11269" width="9.28515625" style="5"/>
    <col min="11270" max="11270" width="71" style="5" customWidth="1"/>
    <col min="11271" max="11271" width="22.7109375" style="5" bestFit="1" customWidth="1"/>
    <col min="11272" max="11272" width="33" style="5" bestFit="1" customWidth="1"/>
    <col min="11273" max="11273" width="26.5703125" style="5" bestFit="1" customWidth="1"/>
    <col min="11274" max="11274" width="22.7109375" style="5" bestFit="1" customWidth="1"/>
    <col min="11275" max="11275" width="33" style="5" bestFit="1" customWidth="1"/>
    <col min="11276" max="11276" width="26.5703125" style="5" customWidth="1"/>
    <col min="11277" max="11277" width="22.7109375" style="5" bestFit="1" customWidth="1"/>
    <col min="11278" max="11279" width="33" style="5" bestFit="1" customWidth="1"/>
    <col min="11280" max="11280" width="22.7109375" style="5" bestFit="1" customWidth="1"/>
    <col min="11281" max="11281" width="33" style="5" bestFit="1" customWidth="1"/>
    <col min="11282" max="11282" width="25.7109375" style="5" customWidth="1"/>
    <col min="11283" max="11284" width="16.7109375" style="5" customWidth="1"/>
    <col min="11285" max="11285" width="26.7109375" style="5" customWidth="1"/>
    <col min="11286" max="11525" width="9.28515625" style="5"/>
    <col min="11526" max="11526" width="71" style="5" customWidth="1"/>
    <col min="11527" max="11527" width="22.7109375" style="5" bestFit="1" customWidth="1"/>
    <col min="11528" max="11528" width="33" style="5" bestFit="1" customWidth="1"/>
    <col min="11529" max="11529" width="26.5703125" style="5" bestFit="1" customWidth="1"/>
    <col min="11530" max="11530" width="22.7109375" style="5" bestFit="1" customWidth="1"/>
    <col min="11531" max="11531" width="33" style="5" bestFit="1" customWidth="1"/>
    <col min="11532" max="11532" width="26.5703125" style="5" customWidth="1"/>
    <col min="11533" max="11533" width="22.7109375" style="5" bestFit="1" customWidth="1"/>
    <col min="11534" max="11535" width="33" style="5" bestFit="1" customWidth="1"/>
    <col min="11536" max="11536" width="22.7109375" style="5" bestFit="1" customWidth="1"/>
    <col min="11537" max="11537" width="33" style="5" bestFit="1" customWidth="1"/>
    <col min="11538" max="11538" width="25.7109375" style="5" customWidth="1"/>
    <col min="11539" max="11540" width="16.7109375" style="5" customWidth="1"/>
    <col min="11541" max="11541" width="26.7109375" style="5" customWidth="1"/>
    <col min="11542" max="11781" width="9.28515625" style="5"/>
    <col min="11782" max="11782" width="71" style="5" customWidth="1"/>
    <col min="11783" max="11783" width="22.7109375" style="5" bestFit="1" customWidth="1"/>
    <col min="11784" max="11784" width="33" style="5" bestFit="1" customWidth="1"/>
    <col min="11785" max="11785" width="26.5703125" style="5" bestFit="1" customWidth="1"/>
    <col min="11786" max="11786" width="22.7109375" style="5" bestFit="1" customWidth="1"/>
    <col min="11787" max="11787" width="33" style="5" bestFit="1" customWidth="1"/>
    <col min="11788" max="11788" width="26.5703125" style="5" customWidth="1"/>
    <col min="11789" max="11789" width="22.7109375" style="5" bestFit="1" customWidth="1"/>
    <col min="11790" max="11791" width="33" style="5" bestFit="1" customWidth="1"/>
    <col min="11792" max="11792" width="22.7109375" style="5" bestFit="1" customWidth="1"/>
    <col min="11793" max="11793" width="33" style="5" bestFit="1" customWidth="1"/>
    <col min="11794" max="11794" width="25.7109375" style="5" customWidth="1"/>
    <col min="11795" max="11796" width="16.7109375" style="5" customWidth="1"/>
    <col min="11797" max="11797" width="26.7109375" style="5" customWidth="1"/>
    <col min="11798" max="12037" width="9.28515625" style="5"/>
    <col min="12038" max="12038" width="71" style="5" customWidth="1"/>
    <col min="12039" max="12039" width="22.7109375" style="5" bestFit="1" customWidth="1"/>
    <col min="12040" max="12040" width="33" style="5" bestFit="1" customWidth="1"/>
    <col min="12041" max="12041" width="26.5703125" style="5" bestFit="1" customWidth="1"/>
    <col min="12042" max="12042" width="22.7109375" style="5" bestFit="1" customWidth="1"/>
    <col min="12043" max="12043" width="33" style="5" bestFit="1" customWidth="1"/>
    <col min="12044" max="12044" width="26.5703125" style="5" customWidth="1"/>
    <col min="12045" max="12045" width="22.7109375" style="5" bestFit="1" customWidth="1"/>
    <col min="12046" max="12047" width="33" style="5" bestFit="1" customWidth="1"/>
    <col min="12048" max="12048" width="22.7109375" style="5" bestFit="1" customWidth="1"/>
    <col min="12049" max="12049" width="33" style="5" bestFit="1" customWidth="1"/>
    <col min="12050" max="12050" width="25.7109375" style="5" customWidth="1"/>
    <col min="12051" max="12052" width="16.7109375" style="5" customWidth="1"/>
    <col min="12053" max="12053" width="26.7109375" style="5" customWidth="1"/>
    <col min="12054" max="12293" width="9.28515625" style="5"/>
    <col min="12294" max="12294" width="71" style="5" customWidth="1"/>
    <col min="12295" max="12295" width="22.7109375" style="5" bestFit="1" customWidth="1"/>
    <col min="12296" max="12296" width="33" style="5" bestFit="1" customWidth="1"/>
    <col min="12297" max="12297" width="26.5703125" style="5" bestFit="1" customWidth="1"/>
    <col min="12298" max="12298" width="22.7109375" style="5" bestFit="1" customWidth="1"/>
    <col min="12299" max="12299" width="33" style="5" bestFit="1" customWidth="1"/>
    <col min="12300" max="12300" width="26.5703125" style="5" customWidth="1"/>
    <col min="12301" max="12301" width="22.7109375" style="5" bestFit="1" customWidth="1"/>
    <col min="12302" max="12303" width="33" style="5" bestFit="1" customWidth="1"/>
    <col min="12304" max="12304" width="22.7109375" style="5" bestFit="1" customWidth="1"/>
    <col min="12305" max="12305" width="33" style="5" bestFit="1" customWidth="1"/>
    <col min="12306" max="12306" width="25.7109375" style="5" customWidth="1"/>
    <col min="12307" max="12308" width="16.7109375" style="5" customWidth="1"/>
    <col min="12309" max="12309" width="26.7109375" style="5" customWidth="1"/>
    <col min="12310" max="12549" width="9.28515625" style="5"/>
    <col min="12550" max="12550" width="71" style="5" customWidth="1"/>
    <col min="12551" max="12551" width="22.7109375" style="5" bestFit="1" customWidth="1"/>
    <col min="12552" max="12552" width="33" style="5" bestFit="1" customWidth="1"/>
    <col min="12553" max="12553" width="26.5703125" style="5" bestFit="1" customWidth="1"/>
    <col min="12554" max="12554" width="22.7109375" style="5" bestFit="1" customWidth="1"/>
    <col min="12555" max="12555" width="33" style="5" bestFit="1" customWidth="1"/>
    <col min="12556" max="12556" width="26.5703125" style="5" customWidth="1"/>
    <col min="12557" max="12557" width="22.7109375" style="5" bestFit="1" customWidth="1"/>
    <col min="12558" max="12559" width="33" style="5" bestFit="1" customWidth="1"/>
    <col min="12560" max="12560" width="22.7109375" style="5" bestFit="1" customWidth="1"/>
    <col min="12561" max="12561" width="33" style="5" bestFit="1" customWidth="1"/>
    <col min="12562" max="12562" width="25.7109375" style="5" customWidth="1"/>
    <col min="12563" max="12564" width="16.7109375" style="5" customWidth="1"/>
    <col min="12565" max="12565" width="26.7109375" style="5" customWidth="1"/>
    <col min="12566" max="12805" width="9.28515625" style="5"/>
    <col min="12806" max="12806" width="71" style="5" customWidth="1"/>
    <col min="12807" max="12807" width="22.7109375" style="5" bestFit="1" customWidth="1"/>
    <col min="12808" max="12808" width="33" style="5" bestFit="1" customWidth="1"/>
    <col min="12809" max="12809" width="26.5703125" style="5" bestFit="1" customWidth="1"/>
    <col min="12810" max="12810" width="22.7109375" style="5" bestFit="1" customWidth="1"/>
    <col min="12811" max="12811" width="33" style="5" bestFit="1" customWidth="1"/>
    <col min="12812" max="12812" width="26.5703125" style="5" customWidth="1"/>
    <col min="12813" max="12813" width="22.7109375" style="5" bestFit="1" customWidth="1"/>
    <col min="12814" max="12815" width="33" style="5" bestFit="1" customWidth="1"/>
    <col min="12816" max="12816" width="22.7109375" style="5" bestFit="1" customWidth="1"/>
    <col min="12817" max="12817" width="33" style="5" bestFit="1" customWidth="1"/>
    <col min="12818" max="12818" width="25.7109375" style="5" customWidth="1"/>
    <col min="12819" max="12820" width="16.7109375" style="5" customWidth="1"/>
    <col min="12821" max="12821" width="26.7109375" style="5" customWidth="1"/>
    <col min="12822" max="13061" width="9.28515625" style="5"/>
    <col min="13062" max="13062" width="71" style="5" customWidth="1"/>
    <col min="13063" max="13063" width="22.7109375" style="5" bestFit="1" customWidth="1"/>
    <col min="13064" max="13064" width="33" style="5" bestFit="1" customWidth="1"/>
    <col min="13065" max="13065" width="26.5703125" style="5" bestFit="1" customWidth="1"/>
    <col min="13066" max="13066" width="22.7109375" style="5" bestFit="1" customWidth="1"/>
    <col min="13067" max="13067" width="33" style="5" bestFit="1" customWidth="1"/>
    <col min="13068" max="13068" width="26.5703125" style="5" customWidth="1"/>
    <col min="13069" max="13069" width="22.7109375" style="5" bestFit="1" customWidth="1"/>
    <col min="13070" max="13071" width="33" style="5" bestFit="1" customWidth="1"/>
    <col min="13072" max="13072" width="22.7109375" style="5" bestFit="1" customWidth="1"/>
    <col min="13073" max="13073" width="33" style="5" bestFit="1" customWidth="1"/>
    <col min="13074" max="13074" width="25.7109375" style="5" customWidth="1"/>
    <col min="13075" max="13076" width="16.7109375" style="5" customWidth="1"/>
    <col min="13077" max="13077" width="26.7109375" style="5" customWidth="1"/>
    <col min="13078" max="13317" width="9.28515625" style="5"/>
    <col min="13318" max="13318" width="71" style="5" customWidth="1"/>
    <col min="13319" max="13319" width="22.7109375" style="5" bestFit="1" customWidth="1"/>
    <col min="13320" max="13320" width="33" style="5" bestFit="1" customWidth="1"/>
    <col min="13321" max="13321" width="26.5703125" style="5" bestFit="1" customWidth="1"/>
    <col min="13322" max="13322" width="22.7109375" style="5" bestFit="1" customWidth="1"/>
    <col min="13323" max="13323" width="33" style="5" bestFit="1" customWidth="1"/>
    <col min="13324" max="13324" width="26.5703125" style="5" customWidth="1"/>
    <col min="13325" max="13325" width="22.7109375" style="5" bestFit="1" customWidth="1"/>
    <col min="13326" max="13327" width="33" style="5" bestFit="1" customWidth="1"/>
    <col min="13328" max="13328" width="22.7109375" style="5" bestFit="1" customWidth="1"/>
    <col min="13329" max="13329" width="33" style="5" bestFit="1" customWidth="1"/>
    <col min="13330" max="13330" width="25.7109375" style="5" customWidth="1"/>
    <col min="13331" max="13332" width="16.7109375" style="5" customWidth="1"/>
    <col min="13333" max="13333" width="26.7109375" style="5" customWidth="1"/>
    <col min="13334" max="13573" width="9.28515625" style="5"/>
    <col min="13574" max="13574" width="71" style="5" customWidth="1"/>
    <col min="13575" max="13575" width="22.7109375" style="5" bestFit="1" customWidth="1"/>
    <col min="13576" max="13576" width="33" style="5" bestFit="1" customWidth="1"/>
    <col min="13577" max="13577" width="26.5703125" style="5" bestFit="1" customWidth="1"/>
    <col min="13578" max="13578" width="22.7109375" style="5" bestFit="1" customWidth="1"/>
    <col min="13579" max="13579" width="33" style="5" bestFit="1" customWidth="1"/>
    <col min="13580" max="13580" width="26.5703125" style="5" customWidth="1"/>
    <col min="13581" max="13581" width="22.7109375" style="5" bestFit="1" customWidth="1"/>
    <col min="13582" max="13583" width="33" style="5" bestFit="1" customWidth="1"/>
    <col min="13584" max="13584" width="22.7109375" style="5" bestFit="1" customWidth="1"/>
    <col min="13585" max="13585" width="33" style="5" bestFit="1" customWidth="1"/>
    <col min="13586" max="13586" width="25.7109375" style="5" customWidth="1"/>
    <col min="13587" max="13588" width="16.7109375" style="5" customWidth="1"/>
    <col min="13589" max="13589" width="26.7109375" style="5" customWidth="1"/>
    <col min="13590" max="13829" width="9.28515625" style="5"/>
    <col min="13830" max="13830" width="71" style="5" customWidth="1"/>
    <col min="13831" max="13831" width="22.7109375" style="5" bestFit="1" customWidth="1"/>
    <col min="13832" max="13832" width="33" style="5" bestFit="1" customWidth="1"/>
    <col min="13833" max="13833" width="26.5703125" style="5" bestFit="1" customWidth="1"/>
    <col min="13834" max="13834" width="22.7109375" style="5" bestFit="1" customWidth="1"/>
    <col min="13835" max="13835" width="33" style="5" bestFit="1" customWidth="1"/>
    <col min="13836" max="13836" width="26.5703125" style="5" customWidth="1"/>
    <col min="13837" max="13837" width="22.7109375" style="5" bestFit="1" customWidth="1"/>
    <col min="13838" max="13839" width="33" style="5" bestFit="1" customWidth="1"/>
    <col min="13840" max="13840" width="22.7109375" style="5" bestFit="1" customWidth="1"/>
    <col min="13841" max="13841" width="33" style="5" bestFit="1" customWidth="1"/>
    <col min="13842" max="13842" width="25.7109375" style="5" customWidth="1"/>
    <col min="13843" max="13844" width="16.7109375" style="5" customWidth="1"/>
    <col min="13845" max="13845" width="26.7109375" style="5" customWidth="1"/>
    <col min="13846" max="14085" width="9.28515625" style="5"/>
    <col min="14086" max="14086" width="71" style="5" customWidth="1"/>
    <col min="14087" max="14087" width="22.7109375" style="5" bestFit="1" customWidth="1"/>
    <col min="14088" max="14088" width="33" style="5" bestFit="1" customWidth="1"/>
    <col min="14089" max="14089" width="26.5703125" style="5" bestFit="1" customWidth="1"/>
    <col min="14090" max="14090" width="22.7109375" style="5" bestFit="1" customWidth="1"/>
    <col min="14091" max="14091" width="33" style="5" bestFit="1" customWidth="1"/>
    <col min="14092" max="14092" width="26.5703125" style="5" customWidth="1"/>
    <col min="14093" max="14093" width="22.7109375" style="5" bestFit="1" customWidth="1"/>
    <col min="14094" max="14095" width="33" style="5" bestFit="1" customWidth="1"/>
    <col min="14096" max="14096" width="22.7109375" style="5" bestFit="1" customWidth="1"/>
    <col min="14097" max="14097" width="33" style="5" bestFit="1" customWidth="1"/>
    <col min="14098" max="14098" width="25.7109375" style="5" customWidth="1"/>
    <col min="14099" max="14100" width="16.7109375" style="5" customWidth="1"/>
    <col min="14101" max="14101" width="26.7109375" style="5" customWidth="1"/>
    <col min="14102" max="14341" width="9.28515625" style="5"/>
    <col min="14342" max="14342" width="71" style="5" customWidth="1"/>
    <col min="14343" max="14343" width="22.7109375" style="5" bestFit="1" customWidth="1"/>
    <col min="14344" max="14344" width="33" style="5" bestFit="1" customWidth="1"/>
    <col min="14345" max="14345" width="26.5703125" style="5" bestFit="1" customWidth="1"/>
    <col min="14346" max="14346" width="22.7109375" style="5" bestFit="1" customWidth="1"/>
    <col min="14347" max="14347" width="33" style="5" bestFit="1" customWidth="1"/>
    <col min="14348" max="14348" width="26.5703125" style="5" customWidth="1"/>
    <col min="14349" max="14349" width="22.7109375" style="5" bestFit="1" customWidth="1"/>
    <col min="14350" max="14351" width="33" style="5" bestFit="1" customWidth="1"/>
    <col min="14352" max="14352" width="22.7109375" style="5" bestFit="1" customWidth="1"/>
    <col min="14353" max="14353" width="33" style="5" bestFit="1" customWidth="1"/>
    <col min="14354" max="14354" width="25.7109375" style="5" customWidth="1"/>
    <col min="14355" max="14356" width="16.7109375" style="5" customWidth="1"/>
    <col min="14357" max="14357" width="26.7109375" style="5" customWidth="1"/>
    <col min="14358" max="14597" width="9.28515625" style="5"/>
    <col min="14598" max="14598" width="71" style="5" customWidth="1"/>
    <col min="14599" max="14599" width="22.7109375" style="5" bestFit="1" customWidth="1"/>
    <col min="14600" max="14600" width="33" style="5" bestFit="1" customWidth="1"/>
    <col min="14601" max="14601" width="26.5703125" style="5" bestFit="1" customWidth="1"/>
    <col min="14602" max="14602" width="22.7109375" style="5" bestFit="1" customWidth="1"/>
    <col min="14603" max="14603" width="33" style="5" bestFit="1" customWidth="1"/>
    <col min="14604" max="14604" width="26.5703125" style="5" customWidth="1"/>
    <col min="14605" max="14605" width="22.7109375" style="5" bestFit="1" customWidth="1"/>
    <col min="14606" max="14607" width="33" style="5" bestFit="1" customWidth="1"/>
    <col min="14608" max="14608" width="22.7109375" style="5" bestFit="1" customWidth="1"/>
    <col min="14609" max="14609" width="33" style="5" bestFit="1" customWidth="1"/>
    <col min="14610" max="14610" width="25.7109375" style="5" customWidth="1"/>
    <col min="14611" max="14612" width="16.7109375" style="5" customWidth="1"/>
    <col min="14613" max="14613" width="26.7109375" style="5" customWidth="1"/>
    <col min="14614" max="14853" width="9.28515625" style="5"/>
    <col min="14854" max="14854" width="71" style="5" customWidth="1"/>
    <col min="14855" max="14855" width="22.7109375" style="5" bestFit="1" customWidth="1"/>
    <col min="14856" max="14856" width="33" style="5" bestFit="1" customWidth="1"/>
    <col min="14857" max="14857" width="26.5703125" style="5" bestFit="1" customWidth="1"/>
    <col min="14858" max="14858" width="22.7109375" style="5" bestFit="1" customWidth="1"/>
    <col min="14859" max="14859" width="33" style="5" bestFit="1" customWidth="1"/>
    <col min="14860" max="14860" width="26.5703125" style="5" customWidth="1"/>
    <col min="14861" max="14861" width="22.7109375" style="5" bestFit="1" customWidth="1"/>
    <col min="14862" max="14863" width="33" style="5" bestFit="1" customWidth="1"/>
    <col min="14864" max="14864" width="22.7109375" style="5" bestFit="1" customWidth="1"/>
    <col min="14865" max="14865" width="33" style="5" bestFit="1" customWidth="1"/>
    <col min="14866" max="14866" width="25.7109375" style="5" customWidth="1"/>
    <col min="14867" max="14868" width="16.7109375" style="5" customWidth="1"/>
    <col min="14869" max="14869" width="26.7109375" style="5" customWidth="1"/>
    <col min="14870" max="15109" width="9.28515625" style="5"/>
    <col min="15110" max="15110" width="71" style="5" customWidth="1"/>
    <col min="15111" max="15111" width="22.7109375" style="5" bestFit="1" customWidth="1"/>
    <col min="15112" max="15112" width="33" style="5" bestFit="1" customWidth="1"/>
    <col min="15113" max="15113" width="26.5703125" style="5" bestFit="1" customWidth="1"/>
    <col min="15114" max="15114" width="22.7109375" style="5" bestFit="1" customWidth="1"/>
    <col min="15115" max="15115" width="33" style="5" bestFit="1" customWidth="1"/>
    <col min="15116" max="15116" width="26.5703125" style="5" customWidth="1"/>
    <col min="15117" max="15117" width="22.7109375" style="5" bestFit="1" customWidth="1"/>
    <col min="15118" max="15119" width="33" style="5" bestFit="1" customWidth="1"/>
    <col min="15120" max="15120" width="22.7109375" style="5" bestFit="1" customWidth="1"/>
    <col min="15121" max="15121" width="33" style="5" bestFit="1" customWidth="1"/>
    <col min="15122" max="15122" width="25.7109375" style="5" customWidth="1"/>
    <col min="15123" max="15124" width="16.7109375" style="5" customWidth="1"/>
    <col min="15125" max="15125" width="26.7109375" style="5" customWidth="1"/>
    <col min="15126" max="15365" width="9.28515625" style="5"/>
    <col min="15366" max="15366" width="71" style="5" customWidth="1"/>
    <col min="15367" max="15367" width="22.7109375" style="5" bestFit="1" customWidth="1"/>
    <col min="15368" max="15368" width="33" style="5" bestFit="1" customWidth="1"/>
    <col min="15369" max="15369" width="26.5703125" style="5" bestFit="1" customWidth="1"/>
    <col min="15370" max="15370" width="22.7109375" style="5" bestFit="1" customWidth="1"/>
    <col min="15371" max="15371" width="33" style="5" bestFit="1" customWidth="1"/>
    <col min="15372" max="15372" width="26.5703125" style="5" customWidth="1"/>
    <col min="15373" max="15373" width="22.7109375" style="5" bestFit="1" customWidth="1"/>
    <col min="15374" max="15375" width="33" style="5" bestFit="1" customWidth="1"/>
    <col min="15376" max="15376" width="22.7109375" style="5" bestFit="1" customWidth="1"/>
    <col min="15377" max="15377" width="33" style="5" bestFit="1" customWidth="1"/>
    <col min="15378" max="15378" width="25.7109375" style="5" customWidth="1"/>
    <col min="15379" max="15380" width="16.7109375" style="5" customWidth="1"/>
    <col min="15381" max="15381" width="26.7109375" style="5" customWidth="1"/>
    <col min="15382" max="15621" width="9.28515625" style="5"/>
    <col min="15622" max="15622" width="71" style="5" customWidth="1"/>
    <col min="15623" max="15623" width="22.7109375" style="5" bestFit="1" customWidth="1"/>
    <col min="15624" max="15624" width="33" style="5" bestFit="1" customWidth="1"/>
    <col min="15625" max="15625" width="26.5703125" style="5" bestFit="1" customWidth="1"/>
    <col min="15626" max="15626" width="22.7109375" style="5" bestFit="1" customWidth="1"/>
    <col min="15627" max="15627" width="33" style="5" bestFit="1" customWidth="1"/>
    <col min="15628" max="15628" width="26.5703125" style="5" customWidth="1"/>
    <col min="15629" max="15629" width="22.7109375" style="5" bestFit="1" customWidth="1"/>
    <col min="15630" max="15631" width="33" style="5" bestFit="1" customWidth="1"/>
    <col min="15632" max="15632" width="22.7109375" style="5" bestFit="1" customWidth="1"/>
    <col min="15633" max="15633" width="33" style="5" bestFit="1" customWidth="1"/>
    <col min="15634" max="15634" width="25.7109375" style="5" customWidth="1"/>
    <col min="15635" max="15636" width="16.7109375" style="5" customWidth="1"/>
    <col min="15637" max="15637" width="26.7109375" style="5" customWidth="1"/>
    <col min="15638" max="15877" width="9.28515625" style="5"/>
    <col min="15878" max="15878" width="71" style="5" customWidth="1"/>
    <col min="15879" max="15879" width="22.7109375" style="5" bestFit="1" customWidth="1"/>
    <col min="15880" max="15880" width="33" style="5" bestFit="1" customWidth="1"/>
    <col min="15881" max="15881" width="26.5703125" style="5" bestFit="1" customWidth="1"/>
    <col min="15882" max="15882" width="22.7109375" style="5" bestFit="1" customWidth="1"/>
    <col min="15883" max="15883" width="33" style="5" bestFit="1" customWidth="1"/>
    <col min="15884" max="15884" width="26.5703125" style="5" customWidth="1"/>
    <col min="15885" max="15885" width="22.7109375" style="5" bestFit="1" customWidth="1"/>
    <col min="15886" max="15887" width="33" style="5" bestFit="1" customWidth="1"/>
    <col min="15888" max="15888" width="22.7109375" style="5" bestFit="1" customWidth="1"/>
    <col min="15889" max="15889" width="33" style="5" bestFit="1" customWidth="1"/>
    <col min="15890" max="15890" width="25.7109375" style="5" customWidth="1"/>
    <col min="15891" max="15892" width="16.7109375" style="5" customWidth="1"/>
    <col min="15893" max="15893" width="26.7109375" style="5" customWidth="1"/>
    <col min="15894" max="16133" width="9.28515625" style="5"/>
    <col min="16134" max="16134" width="71" style="5" customWidth="1"/>
    <col min="16135" max="16135" width="22.7109375" style="5" bestFit="1" customWidth="1"/>
    <col min="16136" max="16136" width="33" style="5" bestFit="1" customWidth="1"/>
    <col min="16137" max="16137" width="26.5703125" style="5" bestFit="1" customWidth="1"/>
    <col min="16138" max="16138" width="22.7109375" style="5" bestFit="1" customWidth="1"/>
    <col min="16139" max="16139" width="33" style="5" bestFit="1" customWidth="1"/>
    <col min="16140" max="16140" width="26.5703125" style="5" customWidth="1"/>
    <col min="16141" max="16141" width="22.7109375" style="5" bestFit="1" customWidth="1"/>
    <col min="16142" max="16143" width="33" style="5" bestFit="1" customWidth="1"/>
    <col min="16144" max="16144" width="22.7109375" style="5" bestFit="1" customWidth="1"/>
    <col min="16145" max="16145" width="33" style="5" bestFit="1" customWidth="1"/>
    <col min="16146" max="16146" width="25.7109375" style="5" customWidth="1"/>
    <col min="16147" max="16148" width="16.7109375" style="5" customWidth="1"/>
    <col min="16149" max="16149" width="26.7109375" style="5" customWidth="1"/>
    <col min="16150" max="16384" width="9.28515625" style="5"/>
  </cols>
  <sheetData>
    <row r="3" spans="3:19" ht="15">
      <c r="C3" s="553" t="s">
        <v>678</v>
      </c>
      <c r="D3" s="553"/>
      <c r="E3" s="553"/>
      <c r="F3" s="553"/>
      <c r="G3" s="553"/>
      <c r="H3" s="553"/>
      <c r="I3" s="553"/>
      <c r="J3" s="42"/>
      <c r="K3" s="42"/>
      <c r="L3" s="42"/>
      <c r="M3" s="42"/>
      <c r="N3" s="42"/>
      <c r="O3" s="42"/>
      <c r="P3" s="42"/>
      <c r="Q3" s="42"/>
      <c r="R3" s="42"/>
      <c r="S3" s="42"/>
    </row>
    <row r="4" spans="3:19" ht="15">
      <c r="C4" s="553" t="s">
        <v>948</v>
      </c>
      <c r="D4" s="553"/>
      <c r="E4" s="553"/>
      <c r="F4" s="553"/>
      <c r="G4" s="553"/>
      <c r="H4" s="553"/>
      <c r="I4" s="553"/>
      <c r="J4" s="42"/>
      <c r="K4" s="42"/>
      <c r="L4" s="42"/>
      <c r="M4" s="42"/>
      <c r="N4" s="42"/>
      <c r="O4" s="42"/>
      <c r="P4" s="42"/>
      <c r="Q4" s="42"/>
      <c r="R4" s="42"/>
      <c r="S4" s="42"/>
    </row>
    <row r="5" spans="3:19" ht="15">
      <c r="C5" s="666" t="s">
        <v>657</v>
      </c>
      <c r="D5" s="666"/>
      <c r="E5" s="666"/>
      <c r="F5" s="666"/>
      <c r="G5" s="666"/>
      <c r="H5" s="666"/>
      <c r="I5" s="666"/>
      <c r="J5" s="42"/>
      <c r="K5" s="42"/>
      <c r="L5" s="42"/>
      <c r="M5" s="42"/>
      <c r="N5" s="42"/>
      <c r="O5" s="42"/>
      <c r="P5" s="42"/>
      <c r="Q5" s="42"/>
      <c r="R5" s="42"/>
      <c r="S5" s="42"/>
    </row>
    <row r="7" spans="3:19" ht="15">
      <c r="C7" s="38" t="s">
        <v>873</v>
      </c>
      <c r="D7" s="38"/>
      <c r="E7" s="38"/>
      <c r="F7" s="38"/>
      <c r="G7" s="38"/>
      <c r="H7" s="38"/>
      <c r="I7" s="38"/>
      <c r="J7" s="38"/>
      <c r="K7" s="38"/>
      <c r="L7" s="38"/>
      <c r="M7" s="38"/>
      <c r="N7" s="38"/>
      <c r="O7" s="38"/>
      <c r="P7" s="38"/>
      <c r="Q7" s="38"/>
      <c r="R7" s="38"/>
    </row>
    <row r="8" spans="3:19" ht="15">
      <c r="C8" s="38" t="s">
        <v>874</v>
      </c>
      <c r="D8" s="38"/>
      <c r="E8" s="38"/>
      <c r="F8" s="38"/>
      <c r="G8" s="38"/>
      <c r="H8" s="38"/>
      <c r="I8" s="38"/>
      <c r="J8" s="38"/>
      <c r="K8" s="38"/>
      <c r="L8" s="38"/>
      <c r="M8" s="38"/>
      <c r="N8" s="38"/>
      <c r="O8" s="38"/>
      <c r="P8" s="38"/>
      <c r="Q8" s="38"/>
      <c r="R8" s="38"/>
    </row>
    <row r="10" spans="3:19" ht="32.65" customHeight="1">
      <c r="C10" s="25"/>
      <c r="D10" s="691" t="s">
        <v>320</v>
      </c>
      <c r="E10" s="692"/>
      <c r="F10" s="693"/>
      <c r="G10" s="691" t="s">
        <v>881</v>
      </c>
      <c r="H10" s="692"/>
      <c r="I10" s="693"/>
      <c r="J10" s="691" t="s">
        <v>352</v>
      </c>
      <c r="K10" s="692"/>
      <c r="L10" s="693"/>
      <c r="M10" s="691" t="s">
        <v>377</v>
      </c>
      <c r="N10" s="692"/>
      <c r="O10" s="693"/>
      <c r="P10" s="691" t="s">
        <v>321</v>
      </c>
      <c r="Q10" s="692"/>
      <c r="R10" s="693"/>
    </row>
    <row r="11" spans="3:19" ht="84.75" customHeight="1">
      <c r="C11" s="123" t="s">
        <v>14</v>
      </c>
      <c r="D11" s="36" t="s">
        <v>322</v>
      </c>
      <c r="E11" s="36" t="s">
        <v>323</v>
      </c>
      <c r="F11" s="36" t="s">
        <v>324</v>
      </c>
      <c r="G11" s="36" t="s">
        <v>325</v>
      </c>
      <c r="H11" s="36" t="s">
        <v>323</v>
      </c>
      <c r="I11" s="36" t="s">
        <v>324</v>
      </c>
      <c r="J11" s="36" t="s">
        <v>325</v>
      </c>
      <c r="K11" s="36" t="s">
        <v>323</v>
      </c>
      <c r="L11" s="36" t="s">
        <v>324</v>
      </c>
      <c r="M11" s="36" t="s">
        <v>325</v>
      </c>
      <c r="N11" s="36" t="s">
        <v>323</v>
      </c>
      <c r="O11" s="36" t="s">
        <v>324</v>
      </c>
      <c r="P11" s="36" t="s">
        <v>325</v>
      </c>
      <c r="Q11" s="36" t="s">
        <v>323</v>
      </c>
      <c r="R11" s="36" t="s">
        <v>324</v>
      </c>
    </row>
    <row r="12" spans="3:19" ht="15">
      <c r="C12" s="35" t="s">
        <v>326</v>
      </c>
      <c r="D12" s="161"/>
      <c r="E12" s="161"/>
      <c r="F12" s="161"/>
      <c r="G12" s="161"/>
      <c r="H12" s="161"/>
      <c r="I12" s="161"/>
      <c r="J12" s="161"/>
      <c r="K12" s="161"/>
      <c r="L12" s="161"/>
      <c r="M12" s="161"/>
      <c r="N12" s="161"/>
      <c r="O12" s="161"/>
      <c r="P12" s="161"/>
      <c r="Q12" s="161">
        <f>H12+K12+N12</f>
        <v>0</v>
      </c>
      <c r="R12" s="161">
        <f t="shared" ref="Q12:R17" si="0">I12+L12+O12</f>
        <v>0</v>
      </c>
      <c r="S12" s="124"/>
    </row>
    <row r="13" spans="3:19" ht="15">
      <c r="C13" s="32" t="s">
        <v>875</v>
      </c>
      <c r="D13" s="341">
        <v>16070.54</v>
      </c>
      <c r="E13" s="342">
        <v>0</v>
      </c>
      <c r="F13" s="343">
        <v>0</v>
      </c>
      <c r="G13" s="341">
        <v>16070.54</v>
      </c>
      <c r="H13" s="342">
        <v>0</v>
      </c>
      <c r="I13" s="342">
        <v>0</v>
      </c>
      <c r="J13" s="162"/>
      <c r="K13" s="125"/>
      <c r="L13" s="125"/>
      <c r="M13" s="125"/>
      <c r="N13" s="125"/>
      <c r="O13" s="125"/>
      <c r="P13" s="161"/>
      <c r="Q13" s="161">
        <f t="shared" si="0"/>
        <v>0</v>
      </c>
      <c r="R13" s="161">
        <f t="shared" si="0"/>
        <v>0</v>
      </c>
      <c r="S13" s="126"/>
    </row>
    <row r="14" spans="3:19" ht="15">
      <c r="C14" s="32" t="s">
        <v>876</v>
      </c>
      <c r="D14" s="341">
        <v>4009</v>
      </c>
      <c r="E14" s="342"/>
      <c r="F14" s="343"/>
      <c r="G14" s="341">
        <v>4009</v>
      </c>
      <c r="H14" s="342"/>
      <c r="I14" s="342"/>
      <c r="J14" s="162"/>
      <c r="K14" s="125"/>
      <c r="L14" s="125"/>
      <c r="M14" s="125"/>
      <c r="N14" s="125"/>
      <c r="O14" s="125"/>
      <c r="P14" s="161"/>
      <c r="Q14" s="161"/>
      <c r="R14" s="161"/>
      <c r="S14" s="126"/>
    </row>
    <row r="15" spans="3:19" ht="15">
      <c r="C15" s="32" t="s">
        <v>876</v>
      </c>
      <c r="D15" s="341">
        <v>0</v>
      </c>
      <c r="E15" s="342"/>
      <c r="F15" s="343"/>
      <c r="G15" s="341">
        <v>7037</v>
      </c>
      <c r="H15" s="342"/>
      <c r="I15" s="342"/>
      <c r="J15" s="162"/>
      <c r="K15" s="125"/>
      <c r="L15" s="125"/>
      <c r="M15" s="125"/>
      <c r="N15" s="125"/>
      <c r="O15" s="125"/>
      <c r="P15" s="161"/>
      <c r="Q15" s="161"/>
      <c r="R15" s="161"/>
      <c r="S15" s="126"/>
    </row>
    <row r="16" spans="3:19" ht="15">
      <c r="C16" s="32" t="s">
        <v>877</v>
      </c>
      <c r="D16" s="341">
        <v>0</v>
      </c>
      <c r="E16" s="342"/>
      <c r="F16" s="343"/>
      <c r="G16" s="341">
        <v>1300</v>
      </c>
      <c r="H16" s="342"/>
      <c r="I16" s="342"/>
      <c r="J16" s="162"/>
      <c r="K16" s="125"/>
      <c r="L16" s="125"/>
      <c r="M16" s="125"/>
      <c r="N16" s="125"/>
      <c r="O16" s="125"/>
      <c r="P16" s="161"/>
      <c r="Q16" s="161"/>
      <c r="R16" s="161"/>
      <c r="S16" s="126"/>
    </row>
    <row r="17" spans="3:21" ht="15">
      <c r="C17" s="32" t="s">
        <v>878</v>
      </c>
      <c r="D17" s="341">
        <v>3892.844000000001</v>
      </c>
      <c r="E17" s="342"/>
      <c r="F17" s="343"/>
      <c r="G17" s="341">
        <v>0</v>
      </c>
      <c r="H17" s="342"/>
      <c r="I17" s="342"/>
      <c r="J17" s="162"/>
      <c r="K17" s="125"/>
      <c r="L17" s="125"/>
      <c r="M17" s="125"/>
      <c r="N17" s="125"/>
      <c r="O17" s="125"/>
      <c r="P17" s="161"/>
      <c r="Q17" s="161">
        <f t="shared" si="0"/>
        <v>0</v>
      </c>
      <c r="R17" s="161">
        <f t="shared" si="0"/>
        <v>0</v>
      </c>
    </row>
    <row r="18" spans="3:21" ht="15">
      <c r="C18" s="45" t="s">
        <v>327</v>
      </c>
      <c r="D18" s="344">
        <v>23972.384000000002</v>
      </c>
      <c r="E18" s="344"/>
      <c r="F18" s="344"/>
      <c r="G18" s="344">
        <v>28416.54</v>
      </c>
      <c r="H18" s="344"/>
      <c r="I18" s="344"/>
      <c r="J18" s="164">
        <f t="shared" ref="J18:R18" si="1">SUM(J13:J17)</f>
        <v>0</v>
      </c>
      <c r="K18" s="164">
        <f t="shared" si="1"/>
        <v>0</v>
      </c>
      <c r="L18" s="164">
        <f t="shared" si="1"/>
        <v>0</v>
      </c>
      <c r="M18" s="164">
        <f t="shared" si="1"/>
        <v>0</v>
      </c>
      <c r="N18" s="164">
        <f t="shared" si="1"/>
        <v>0</v>
      </c>
      <c r="O18" s="164">
        <f t="shared" si="1"/>
        <v>0</v>
      </c>
      <c r="P18" s="164"/>
      <c r="Q18" s="164">
        <f t="shared" si="1"/>
        <v>0</v>
      </c>
      <c r="R18" s="164">
        <f t="shared" si="1"/>
        <v>0</v>
      </c>
      <c r="S18" s="114"/>
    </row>
    <row r="19" spans="3:21">
      <c r="C19" s="32" t="s">
        <v>328</v>
      </c>
      <c r="D19" s="342"/>
      <c r="E19" s="342">
        <v>0</v>
      </c>
      <c r="F19" s="342">
        <v>0</v>
      </c>
      <c r="G19" s="342"/>
      <c r="H19" s="342">
        <v>0</v>
      </c>
      <c r="I19" s="342">
        <v>0</v>
      </c>
      <c r="J19" s="125"/>
      <c r="K19" s="125"/>
      <c r="L19" s="125"/>
      <c r="M19" s="125"/>
      <c r="N19" s="125"/>
      <c r="O19" s="125"/>
      <c r="P19" s="125"/>
      <c r="Q19" s="125"/>
      <c r="R19" s="125"/>
    </row>
    <row r="20" spans="3:21" ht="15">
      <c r="C20" s="46" t="s">
        <v>329</v>
      </c>
      <c r="D20" s="341">
        <v>0</v>
      </c>
      <c r="E20" s="342"/>
      <c r="F20" s="345"/>
      <c r="G20" s="341"/>
      <c r="H20" s="342"/>
      <c r="I20" s="342"/>
      <c r="J20" s="162"/>
      <c r="K20" s="125"/>
      <c r="L20" s="125"/>
      <c r="M20" s="125"/>
      <c r="N20" s="125"/>
      <c r="O20" s="125"/>
      <c r="P20" s="161"/>
      <c r="Q20" s="161">
        <f>H20+K20+N20</f>
        <v>0</v>
      </c>
      <c r="R20" s="161">
        <f t="shared" ref="R20:R22" si="2">I20+L20+O20</f>
        <v>0</v>
      </c>
      <c r="S20" s="114"/>
    </row>
    <row r="21" spans="3:21" ht="15">
      <c r="C21" s="46" t="s">
        <v>380</v>
      </c>
      <c r="D21" s="341">
        <v>0</v>
      </c>
      <c r="E21" s="342"/>
      <c r="F21" s="345"/>
      <c r="G21" s="341"/>
      <c r="H21" s="342"/>
      <c r="I21" s="342"/>
      <c r="J21" s="162"/>
      <c r="K21" s="125"/>
      <c r="L21" s="125"/>
      <c r="M21" s="125"/>
      <c r="N21" s="125"/>
      <c r="O21" s="125"/>
      <c r="P21" s="161"/>
      <c r="Q21" s="161">
        <f t="shared" ref="Q21:Q22" si="3">H21+K21+N21</f>
        <v>0</v>
      </c>
      <c r="R21" s="161">
        <f>I21+L21+O21</f>
        <v>0</v>
      </c>
      <c r="S21" s="128"/>
    </row>
    <row r="22" spans="3:21" ht="15">
      <c r="C22" s="46" t="s">
        <v>330</v>
      </c>
      <c r="D22" s="341">
        <v>5993.0960000000005</v>
      </c>
      <c r="E22" s="342"/>
      <c r="F22" s="345"/>
      <c r="G22" s="341">
        <v>7715.4499999999971</v>
      </c>
      <c r="H22" s="342"/>
      <c r="I22" s="342"/>
      <c r="J22" s="162"/>
      <c r="K22" s="125"/>
      <c r="L22" s="125"/>
      <c r="M22" s="125"/>
      <c r="N22" s="125"/>
      <c r="O22" s="125"/>
      <c r="P22" s="161"/>
      <c r="Q22" s="161">
        <f t="shared" si="3"/>
        <v>0</v>
      </c>
      <c r="R22" s="161">
        <f t="shared" si="2"/>
        <v>0</v>
      </c>
      <c r="S22" s="124"/>
      <c r="U22" s="124"/>
    </row>
    <row r="23" spans="3:21" ht="15">
      <c r="C23" s="45" t="s">
        <v>331</v>
      </c>
      <c r="D23" s="344">
        <v>5993.0960000000005</v>
      </c>
      <c r="E23" s="344"/>
      <c r="F23" s="344"/>
      <c r="G23" s="344">
        <v>7715.4499999999971</v>
      </c>
      <c r="H23" s="344"/>
      <c r="I23" s="344"/>
      <c r="J23" s="164">
        <f t="shared" ref="J23:R23" si="4">SUM(J20:J22)</f>
        <v>0</v>
      </c>
      <c r="K23" s="164">
        <f t="shared" si="4"/>
        <v>0</v>
      </c>
      <c r="L23" s="164">
        <f t="shared" si="4"/>
        <v>0</v>
      </c>
      <c r="M23" s="164">
        <f t="shared" si="4"/>
        <v>0</v>
      </c>
      <c r="N23" s="164">
        <f t="shared" si="4"/>
        <v>0</v>
      </c>
      <c r="O23" s="164">
        <f t="shared" si="4"/>
        <v>0</v>
      </c>
      <c r="P23" s="164"/>
      <c r="Q23" s="164">
        <f t="shared" si="4"/>
        <v>0</v>
      </c>
      <c r="R23" s="164">
        <f t="shared" si="4"/>
        <v>0</v>
      </c>
      <c r="S23" s="129"/>
      <c r="U23" s="124"/>
    </row>
    <row r="24" spans="3:21" s="38" customFormat="1" ht="15">
      <c r="C24" s="45" t="s">
        <v>332</v>
      </c>
      <c r="D24" s="346"/>
      <c r="E24" s="347"/>
      <c r="F24" s="347"/>
      <c r="G24" s="346"/>
      <c r="H24" s="347"/>
      <c r="I24" s="347"/>
      <c r="J24" s="163"/>
      <c r="K24" s="127"/>
      <c r="L24" s="127"/>
      <c r="M24" s="127"/>
      <c r="N24" s="127"/>
      <c r="O24" s="127"/>
      <c r="P24" s="163"/>
      <c r="Q24" s="127"/>
      <c r="R24" s="127"/>
      <c r="S24" s="131"/>
      <c r="T24" s="131"/>
    </row>
    <row r="25" spans="3:21" ht="60.75" customHeight="1">
      <c r="C25" s="71" t="s">
        <v>333</v>
      </c>
      <c r="D25" s="688" t="s">
        <v>879</v>
      </c>
      <c r="E25" s="694"/>
      <c r="F25" s="695"/>
      <c r="G25" s="688" t="s">
        <v>880</v>
      </c>
      <c r="H25" s="694"/>
      <c r="I25" s="695"/>
      <c r="J25" s="688">
        <f>IFERROR(L18/L23,0)</f>
        <v>0</v>
      </c>
      <c r="K25" s="689"/>
      <c r="L25" s="690"/>
      <c r="M25" s="688">
        <f>IFERROR(O18/O23,0)</f>
        <v>0</v>
      </c>
      <c r="N25" s="689"/>
      <c r="O25" s="690"/>
      <c r="P25" s="688">
        <f>IFERROR(R18/R23,0)</f>
        <v>0</v>
      </c>
      <c r="Q25" s="689"/>
      <c r="R25" s="690"/>
      <c r="S25" s="114"/>
    </row>
    <row r="26" spans="3:21" ht="15">
      <c r="C26" s="47"/>
      <c r="D26" s="132"/>
      <c r="E26" s="41"/>
      <c r="F26" s="133"/>
      <c r="G26" s="119"/>
      <c r="H26" s="124"/>
      <c r="I26" s="120"/>
      <c r="J26" s="121"/>
      <c r="K26" s="114"/>
      <c r="L26" s="134"/>
      <c r="M26" s="134"/>
      <c r="N26" s="134"/>
      <c r="O26" s="134"/>
      <c r="P26" s="119"/>
      <c r="Q26" s="124"/>
      <c r="R26" s="134"/>
    </row>
    <row r="27" spans="3:21">
      <c r="C27" s="5" t="s">
        <v>334</v>
      </c>
      <c r="H27" s="124"/>
      <c r="I27" s="122"/>
      <c r="J27" s="122"/>
      <c r="K27" s="114"/>
      <c r="L27" s="122"/>
      <c r="M27" s="122"/>
      <c r="N27" s="122"/>
      <c r="O27" s="122"/>
      <c r="Q27" s="124"/>
      <c r="R27" s="122"/>
      <c r="S27" s="114"/>
    </row>
    <row r="28" spans="3:21">
      <c r="I28" s="135"/>
      <c r="L28" s="135"/>
      <c r="M28" s="135"/>
      <c r="N28" s="135"/>
      <c r="O28" s="135"/>
      <c r="R28" s="135"/>
    </row>
    <row r="29" spans="3:21">
      <c r="D29" s="124"/>
      <c r="E29" s="124"/>
      <c r="F29" s="124"/>
      <c r="G29" s="124"/>
      <c r="H29" s="124"/>
      <c r="I29" s="124"/>
      <c r="J29" s="124"/>
      <c r="K29" s="124"/>
      <c r="L29" s="124"/>
      <c r="M29" s="124"/>
      <c r="N29" s="124"/>
      <c r="O29" s="124"/>
      <c r="P29" s="124"/>
      <c r="Q29" s="124"/>
      <c r="R29" s="124"/>
    </row>
    <row r="30" spans="3:21">
      <c r="I30" s="124"/>
      <c r="L30" s="124"/>
      <c r="M30" s="124"/>
      <c r="N30" s="124"/>
      <c r="O30" s="124"/>
      <c r="R30" s="124"/>
      <c r="T30" s="124"/>
    </row>
    <row r="31" spans="3:21">
      <c r="D31" s="124"/>
      <c r="E31" s="124"/>
      <c r="G31" s="124"/>
      <c r="H31" s="124"/>
      <c r="I31" s="124"/>
      <c r="J31" s="124"/>
      <c r="K31" s="124"/>
      <c r="L31" s="124"/>
      <c r="M31" s="124"/>
      <c r="N31" s="124"/>
      <c r="O31" s="124"/>
      <c r="P31" s="124"/>
      <c r="Q31" s="124"/>
      <c r="R31" s="124"/>
    </row>
    <row r="33" spans="6:6">
      <c r="F33" s="124"/>
    </row>
  </sheetData>
  <mergeCells count="13">
    <mergeCell ref="C3:I3"/>
    <mergeCell ref="C4:I4"/>
    <mergeCell ref="C5:I5"/>
    <mergeCell ref="D25:F25"/>
    <mergeCell ref="G25:I25"/>
    <mergeCell ref="J25:L25"/>
    <mergeCell ref="P25:R25"/>
    <mergeCell ref="D10:F10"/>
    <mergeCell ref="G10:I10"/>
    <mergeCell ref="J10:L10"/>
    <mergeCell ref="P10:R10"/>
    <mergeCell ref="M10:O10"/>
    <mergeCell ref="M25:O25"/>
  </mergeCells>
  <printOptions horizontalCentered="1" verticalCentered="1"/>
  <pageMargins left="0.39" right="0.55118110236220497" top="0.484251969" bottom="0.98425196850393704" header="0.511811023622047" footer="0.511811023622047"/>
  <pageSetup paperSize="9" scale="99"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B1:G37"/>
  <sheetViews>
    <sheetView showGridLines="0" zoomScale="79" zoomScaleNormal="79" zoomScaleSheetLayoutView="70" workbookViewId="0">
      <selection activeCell="L24" sqref="L24"/>
    </sheetView>
  </sheetViews>
  <sheetFormatPr defaultColWidth="9.140625" defaultRowHeight="14.25"/>
  <cols>
    <col min="1" max="1" width="9.140625" style="5"/>
    <col min="2" max="2" width="51" style="5" customWidth="1"/>
    <col min="3" max="3" width="31.28515625" style="5" customWidth="1"/>
    <col min="4" max="4" width="21.140625" style="5" customWidth="1"/>
    <col min="5" max="5" width="17.42578125" style="5" customWidth="1"/>
    <col min="6" max="6" width="19.140625" style="5" customWidth="1"/>
    <col min="7" max="7" width="17.7109375" style="5" customWidth="1"/>
    <col min="8" max="256" width="9.140625" style="5"/>
    <col min="257" max="257" width="50.28515625" style="5" customWidth="1"/>
    <col min="258" max="258" width="90.5703125" style="5" customWidth="1"/>
    <col min="259" max="512" width="9.140625" style="5"/>
    <col min="513" max="513" width="50.28515625" style="5" customWidth="1"/>
    <col min="514" max="514" width="90.5703125" style="5" customWidth="1"/>
    <col min="515" max="768" width="9.140625" style="5"/>
    <col min="769" max="769" width="50.28515625" style="5" customWidth="1"/>
    <col min="770" max="770" width="90.5703125" style="5" customWidth="1"/>
    <col min="771" max="1024" width="9.140625" style="5"/>
    <col min="1025" max="1025" width="50.28515625" style="5" customWidth="1"/>
    <col min="1026" max="1026" width="90.5703125" style="5" customWidth="1"/>
    <col min="1027" max="1280" width="9.140625" style="5"/>
    <col min="1281" max="1281" width="50.28515625" style="5" customWidth="1"/>
    <col min="1282" max="1282" width="90.5703125" style="5" customWidth="1"/>
    <col min="1283" max="1536" width="9.140625" style="5"/>
    <col min="1537" max="1537" width="50.28515625" style="5" customWidth="1"/>
    <col min="1538" max="1538" width="90.5703125" style="5" customWidth="1"/>
    <col min="1539" max="1792" width="9.140625" style="5"/>
    <col min="1793" max="1793" width="50.28515625" style="5" customWidth="1"/>
    <col min="1794" max="1794" width="90.5703125" style="5" customWidth="1"/>
    <col min="1795" max="2048" width="9.140625" style="5"/>
    <col min="2049" max="2049" width="50.28515625" style="5" customWidth="1"/>
    <col min="2050" max="2050" width="90.5703125" style="5" customWidth="1"/>
    <col min="2051" max="2304" width="9.140625" style="5"/>
    <col min="2305" max="2305" width="50.28515625" style="5" customWidth="1"/>
    <col min="2306" max="2306" width="90.5703125" style="5" customWidth="1"/>
    <col min="2307" max="2560" width="9.140625" style="5"/>
    <col min="2561" max="2561" width="50.28515625" style="5" customWidth="1"/>
    <col min="2562" max="2562" width="90.5703125" style="5" customWidth="1"/>
    <col min="2563" max="2816" width="9.140625" style="5"/>
    <col min="2817" max="2817" width="50.28515625" style="5" customWidth="1"/>
    <col min="2818" max="2818" width="90.5703125" style="5" customWidth="1"/>
    <col min="2819" max="3072" width="9.140625" style="5"/>
    <col min="3073" max="3073" width="50.28515625" style="5" customWidth="1"/>
    <col min="3074" max="3074" width="90.5703125" style="5" customWidth="1"/>
    <col min="3075" max="3328" width="9.140625" style="5"/>
    <col min="3329" max="3329" width="50.28515625" style="5" customWidth="1"/>
    <col min="3330" max="3330" width="90.5703125" style="5" customWidth="1"/>
    <col min="3331" max="3584" width="9.140625" style="5"/>
    <col min="3585" max="3585" width="50.28515625" style="5" customWidth="1"/>
    <col min="3586" max="3586" width="90.5703125" style="5" customWidth="1"/>
    <col min="3587" max="3840" width="9.140625" style="5"/>
    <col min="3841" max="3841" width="50.28515625" style="5" customWidth="1"/>
    <col min="3842" max="3842" width="90.5703125" style="5" customWidth="1"/>
    <col min="3843" max="4096" width="9.140625" style="5"/>
    <col min="4097" max="4097" width="50.28515625" style="5" customWidth="1"/>
    <col min="4098" max="4098" width="90.5703125" style="5" customWidth="1"/>
    <col min="4099" max="4352" width="9.140625" style="5"/>
    <col min="4353" max="4353" width="50.28515625" style="5" customWidth="1"/>
    <col min="4354" max="4354" width="90.5703125" style="5" customWidth="1"/>
    <col min="4355" max="4608" width="9.140625" style="5"/>
    <col min="4609" max="4609" width="50.28515625" style="5" customWidth="1"/>
    <col min="4610" max="4610" width="90.5703125" style="5" customWidth="1"/>
    <col min="4611" max="4864" width="9.140625" style="5"/>
    <col min="4865" max="4865" width="50.28515625" style="5" customWidth="1"/>
    <col min="4866" max="4866" width="90.5703125" style="5" customWidth="1"/>
    <col min="4867" max="5120" width="9.140625" style="5"/>
    <col min="5121" max="5121" width="50.28515625" style="5" customWidth="1"/>
    <col min="5122" max="5122" width="90.5703125" style="5" customWidth="1"/>
    <col min="5123" max="5376" width="9.140625" style="5"/>
    <col min="5377" max="5377" width="50.28515625" style="5" customWidth="1"/>
    <col min="5378" max="5378" width="90.5703125" style="5" customWidth="1"/>
    <col min="5379" max="5632" width="9.140625" style="5"/>
    <col min="5633" max="5633" width="50.28515625" style="5" customWidth="1"/>
    <col min="5634" max="5634" width="90.5703125" style="5" customWidth="1"/>
    <col min="5635" max="5888" width="9.140625" style="5"/>
    <col min="5889" max="5889" width="50.28515625" style="5" customWidth="1"/>
    <col min="5890" max="5890" width="90.5703125" style="5" customWidth="1"/>
    <col min="5891" max="6144" width="9.140625" style="5"/>
    <col min="6145" max="6145" width="50.28515625" style="5" customWidth="1"/>
    <col min="6146" max="6146" width="90.5703125" style="5" customWidth="1"/>
    <col min="6147" max="6400" width="9.140625" style="5"/>
    <col min="6401" max="6401" width="50.28515625" style="5" customWidth="1"/>
    <col min="6402" max="6402" width="90.5703125" style="5" customWidth="1"/>
    <col min="6403" max="6656" width="9.140625" style="5"/>
    <col min="6657" max="6657" width="50.28515625" style="5" customWidth="1"/>
    <col min="6658" max="6658" width="90.5703125" style="5" customWidth="1"/>
    <col min="6659" max="6912" width="9.140625" style="5"/>
    <col min="6913" max="6913" width="50.28515625" style="5" customWidth="1"/>
    <col min="6914" max="6914" width="90.5703125" style="5" customWidth="1"/>
    <col min="6915" max="7168" width="9.140625" style="5"/>
    <col min="7169" max="7169" width="50.28515625" style="5" customWidth="1"/>
    <col min="7170" max="7170" width="90.5703125" style="5" customWidth="1"/>
    <col min="7171" max="7424" width="9.140625" style="5"/>
    <col min="7425" max="7425" width="50.28515625" style="5" customWidth="1"/>
    <col min="7426" max="7426" width="90.5703125" style="5" customWidth="1"/>
    <col min="7427" max="7680" width="9.140625" style="5"/>
    <col min="7681" max="7681" width="50.28515625" style="5" customWidth="1"/>
    <col min="7682" max="7682" width="90.5703125" style="5" customWidth="1"/>
    <col min="7683" max="7936" width="9.140625" style="5"/>
    <col min="7937" max="7937" width="50.28515625" style="5" customWidth="1"/>
    <col min="7938" max="7938" width="90.5703125" style="5" customWidth="1"/>
    <col min="7939" max="8192" width="9.140625" style="5"/>
    <col min="8193" max="8193" width="50.28515625" style="5" customWidth="1"/>
    <col min="8194" max="8194" width="90.5703125" style="5" customWidth="1"/>
    <col min="8195" max="8448" width="9.140625" style="5"/>
    <col min="8449" max="8449" width="50.28515625" style="5" customWidth="1"/>
    <col min="8450" max="8450" width="90.5703125" style="5" customWidth="1"/>
    <col min="8451" max="8704" width="9.140625" style="5"/>
    <col min="8705" max="8705" width="50.28515625" style="5" customWidth="1"/>
    <col min="8706" max="8706" width="90.5703125" style="5" customWidth="1"/>
    <col min="8707" max="8960" width="9.140625" style="5"/>
    <col min="8961" max="8961" width="50.28515625" style="5" customWidth="1"/>
    <col min="8962" max="8962" width="90.5703125" style="5" customWidth="1"/>
    <col min="8963" max="9216" width="9.140625" style="5"/>
    <col min="9217" max="9217" width="50.28515625" style="5" customWidth="1"/>
    <col min="9218" max="9218" width="90.5703125" style="5" customWidth="1"/>
    <col min="9219" max="9472" width="9.140625" style="5"/>
    <col min="9473" max="9473" width="50.28515625" style="5" customWidth="1"/>
    <col min="9474" max="9474" width="90.5703125" style="5" customWidth="1"/>
    <col min="9475" max="9728" width="9.140625" style="5"/>
    <col min="9729" max="9729" width="50.28515625" style="5" customWidth="1"/>
    <col min="9730" max="9730" width="90.5703125" style="5" customWidth="1"/>
    <col min="9731" max="9984" width="9.140625" style="5"/>
    <col min="9985" max="9985" width="50.28515625" style="5" customWidth="1"/>
    <col min="9986" max="9986" width="90.5703125" style="5" customWidth="1"/>
    <col min="9987" max="10240" width="9.140625" style="5"/>
    <col min="10241" max="10241" width="50.28515625" style="5" customWidth="1"/>
    <col min="10242" max="10242" width="90.5703125" style="5" customWidth="1"/>
    <col min="10243" max="10496" width="9.140625" style="5"/>
    <col min="10497" max="10497" width="50.28515625" style="5" customWidth="1"/>
    <col min="10498" max="10498" width="90.5703125" style="5" customWidth="1"/>
    <col min="10499" max="10752" width="9.140625" style="5"/>
    <col min="10753" max="10753" width="50.28515625" style="5" customWidth="1"/>
    <col min="10754" max="10754" width="90.5703125" style="5" customWidth="1"/>
    <col min="10755" max="11008" width="9.140625" style="5"/>
    <col min="11009" max="11009" width="50.28515625" style="5" customWidth="1"/>
    <col min="11010" max="11010" width="90.5703125" style="5" customWidth="1"/>
    <col min="11011" max="11264" width="9.140625" style="5"/>
    <col min="11265" max="11265" width="50.28515625" style="5" customWidth="1"/>
    <col min="11266" max="11266" width="90.5703125" style="5" customWidth="1"/>
    <col min="11267" max="11520" width="9.140625" style="5"/>
    <col min="11521" max="11521" width="50.28515625" style="5" customWidth="1"/>
    <col min="11522" max="11522" width="90.5703125" style="5" customWidth="1"/>
    <col min="11523" max="11776" width="9.140625" style="5"/>
    <col min="11777" max="11777" width="50.28515625" style="5" customWidth="1"/>
    <col min="11778" max="11778" width="90.5703125" style="5" customWidth="1"/>
    <col min="11779" max="12032" width="9.140625" style="5"/>
    <col min="12033" max="12033" width="50.28515625" style="5" customWidth="1"/>
    <col min="12034" max="12034" width="90.5703125" style="5" customWidth="1"/>
    <col min="12035" max="12288" width="9.140625" style="5"/>
    <col min="12289" max="12289" width="50.28515625" style="5" customWidth="1"/>
    <col min="12290" max="12290" width="90.5703125" style="5" customWidth="1"/>
    <col min="12291" max="12544" width="9.140625" style="5"/>
    <col min="12545" max="12545" width="50.28515625" style="5" customWidth="1"/>
    <col min="12546" max="12546" width="90.5703125" style="5" customWidth="1"/>
    <col min="12547" max="12800" width="9.140625" style="5"/>
    <col min="12801" max="12801" width="50.28515625" style="5" customWidth="1"/>
    <col min="12802" max="12802" width="90.5703125" style="5" customWidth="1"/>
    <col min="12803" max="13056" width="9.140625" style="5"/>
    <col min="13057" max="13057" width="50.28515625" style="5" customWidth="1"/>
    <col min="13058" max="13058" width="90.5703125" style="5" customWidth="1"/>
    <col min="13059" max="13312" width="9.140625" style="5"/>
    <col min="13313" max="13313" width="50.28515625" style="5" customWidth="1"/>
    <col min="13314" max="13314" width="90.5703125" style="5" customWidth="1"/>
    <col min="13315" max="13568" width="9.140625" style="5"/>
    <col min="13569" max="13569" width="50.28515625" style="5" customWidth="1"/>
    <col min="13570" max="13570" width="90.5703125" style="5" customWidth="1"/>
    <col min="13571" max="13824" width="9.140625" style="5"/>
    <col min="13825" max="13825" width="50.28515625" style="5" customWidth="1"/>
    <col min="13826" max="13826" width="90.5703125" style="5" customWidth="1"/>
    <col min="13827" max="14080" width="9.140625" style="5"/>
    <col min="14081" max="14081" width="50.28515625" style="5" customWidth="1"/>
    <col min="14082" max="14082" width="90.5703125" style="5" customWidth="1"/>
    <col min="14083" max="14336" width="9.140625" style="5"/>
    <col min="14337" max="14337" width="50.28515625" style="5" customWidth="1"/>
    <col min="14338" max="14338" width="90.5703125" style="5" customWidth="1"/>
    <col min="14339" max="14592" width="9.140625" style="5"/>
    <col min="14593" max="14593" width="50.28515625" style="5" customWidth="1"/>
    <col min="14594" max="14594" width="90.5703125" style="5" customWidth="1"/>
    <col min="14595" max="14848" width="9.140625" style="5"/>
    <col min="14849" max="14849" width="50.28515625" style="5" customWidth="1"/>
    <col min="14850" max="14850" width="90.5703125" style="5" customWidth="1"/>
    <col min="14851" max="15104" width="9.140625" style="5"/>
    <col min="15105" max="15105" width="50.28515625" style="5" customWidth="1"/>
    <col min="15106" max="15106" width="90.5703125" style="5" customWidth="1"/>
    <col min="15107" max="15360" width="9.140625" style="5"/>
    <col min="15361" max="15361" width="50.28515625" style="5" customWidth="1"/>
    <col min="15362" max="15362" width="90.5703125" style="5" customWidth="1"/>
    <col min="15363" max="15616" width="9.140625" style="5"/>
    <col min="15617" max="15617" width="50.28515625" style="5" customWidth="1"/>
    <col min="15618" max="15618" width="90.5703125" style="5" customWidth="1"/>
    <col min="15619" max="15872" width="9.140625" style="5"/>
    <col min="15873" max="15873" width="50.28515625" style="5" customWidth="1"/>
    <col min="15874" max="15874" width="90.5703125" style="5" customWidth="1"/>
    <col min="15875" max="16128" width="9.140625" style="5"/>
    <col min="16129" max="16129" width="50.28515625" style="5" customWidth="1"/>
    <col min="16130" max="16130" width="90.5703125" style="5" customWidth="1"/>
    <col min="16131" max="16384" width="9.140625" style="5"/>
  </cols>
  <sheetData>
    <row r="1" spans="2:7">
      <c r="C1" s="136"/>
    </row>
    <row r="2" spans="2:7" ht="14.25" customHeight="1">
      <c r="B2" s="553" t="s">
        <v>882</v>
      </c>
      <c r="C2" s="553"/>
      <c r="D2" s="553"/>
      <c r="E2" s="553"/>
      <c r="F2" s="553"/>
      <c r="G2" s="553"/>
    </row>
    <row r="3" spans="2:7" ht="15" customHeight="1">
      <c r="B3" s="553" t="s">
        <v>948</v>
      </c>
      <c r="C3" s="553"/>
      <c r="D3" s="553"/>
      <c r="E3" s="553"/>
      <c r="F3" s="553"/>
      <c r="G3" s="553"/>
    </row>
    <row r="4" spans="2:7" ht="13.9" customHeight="1">
      <c r="B4" s="696" t="s">
        <v>658</v>
      </c>
      <c r="C4" s="696"/>
      <c r="D4" s="696"/>
      <c r="E4" s="696"/>
      <c r="F4" s="696"/>
      <c r="G4" s="696"/>
    </row>
    <row r="5" spans="2:7">
      <c r="C5" s="697"/>
      <c r="D5" s="697"/>
      <c r="E5" s="697"/>
    </row>
    <row r="6" spans="2:7" ht="15">
      <c r="B6" s="698" t="s">
        <v>14</v>
      </c>
      <c r="C6" s="700" t="s">
        <v>883</v>
      </c>
      <c r="D6" s="633"/>
      <c r="E6" s="633"/>
      <c r="F6" s="633"/>
      <c r="G6" s="634"/>
    </row>
    <row r="7" spans="2:7" ht="15">
      <c r="B7" s="699"/>
      <c r="C7" s="28" t="s">
        <v>884</v>
      </c>
      <c r="D7" s="28" t="s">
        <v>885</v>
      </c>
      <c r="E7" s="28" t="s">
        <v>886</v>
      </c>
      <c r="F7" s="28" t="s">
        <v>887</v>
      </c>
      <c r="G7" s="28" t="s">
        <v>888</v>
      </c>
    </row>
    <row r="8" spans="2:7" ht="15">
      <c r="B8" s="130"/>
      <c r="C8" s="130"/>
      <c r="D8" s="32"/>
      <c r="E8" s="32"/>
      <c r="F8" s="32"/>
      <c r="G8" s="32"/>
    </row>
    <row r="9" spans="2:7">
      <c r="B9" s="69" t="s">
        <v>335</v>
      </c>
      <c r="C9" s="25" t="s">
        <v>889</v>
      </c>
      <c r="D9" s="26" t="s">
        <v>890</v>
      </c>
      <c r="E9" s="26" t="s">
        <v>890</v>
      </c>
      <c r="F9" s="26" t="s">
        <v>877</v>
      </c>
      <c r="G9" s="26" t="s">
        <v>877</v>
      </c>
    </row>
    <row r="10" spans="2:7">
      <c r="B10" s="32" t="s">
        <v>325</v>
      </c>
      <c r="C10" s="25" t="s">
        <v>891</v>
      </c>
      <c r="D10" s="25" t="s">
        <v>891</v>
      </c>
      <c r="E10" s="25" t="s">
        <v>891</v>
      </c>
      <c r="F10" s="25" t="s">
        <v>891</v>
      </c>
      <c r="G10" s="25" t="s">
        <v>891</v>
      </c>
    </row>
    <row r="11" spans="2:7">
      <c r="B11" s="32" t="s">
        <v>378</v>
      </c>
      <c r="C11" s="125">
        <v>16070.54</v>
      </c>
      <c r="D11" s="125">
        <v>4009</v>
      </c>
      <c r="E11" s="125">
        <v>7037</v>
      </c>
      <c r="F11" s="125">
        <v>150</v>
      </c>
      <c r="G11" s="125">
        <v>1150</v>
      </c>
    </row>
    <row r="12" spans="2:7" ht="28.5">
      <c r="B12" s="69" t="s">
        <v>892</v>
      </c>
      <c r="C12" s="125">
        <v>16064.99</v>
      </c>
      <c r="D12" s="25">
        <v>4008.86</v>
      </c>
      <c r="E12" s="25">
        <v>3157.22</v>
      </c>
      <c r="F12" s="25">
        <v>0</v>
      </c>
      <c r="G12" s="25">
        <v>0</v>
      </c>
    </row>
    <row r="13" spans="2:7" ht="15">
      <c r="B13" s="32" t="s">
        <v>382</v>
      </c>
      <c r="C13" s="350" t="s">
        <v>893</v>
      </c>
      <c r="D13" s="350" t="s">
        <v>893</v>
      </c>
      <c r="E13" s="350" t="s">
        <v>893</v>
      </c>
      <c r="F13" s="350" t="s">
        <v>893</v>
      </c>
      <c r="G13" s="350" t="s">
        <v>893</v>
      </c>
    </row>
    <row r="14" spans="2:7">
      <c r="B14" s="32" t="s">
        <v>336</v>
      </c>
      <c r="C14" s="245" t="s">
        <v>894</v>
      </c>
      <c r="D14" s="245" t="s">
        <v>894</v>
      </c>
      <c r="E14" s="245" t="s">
        <v>894</v>
      </c>
      <c r="F14" s="245" t="s">
        <v>894</v>
      </c>
      <c r="G14" s="245" t="s">
        <v>894</v>
      </c>
    </row>
    <row r="15" spans="2:7">
      <c r="B15" s="32" t="s">
        <v>383</v>
      </c>
      <c r="C15" s="348">
        <v>0.1115</v>
      </c>
      <c r="D15" s="348">
        <v>0.10199999999999999</v>
      </c>
      <c r="E15" s="348">
        <v>0.10050000000000001</v>
      </c>
      <c r="F15" s="348">
        <v>9.4700000000000006E-2</v>
      </c>
      <c r="G15" s="348">
        <v>9.4700000000000006E-2</v>
      </c>
    </row>
    <row r="16" spans="2:7">
      <c r="B16" s="32" t="s">
        <v>384</v>
      </c>
      <c r="C16" s="245" t="s">
        <v>895</v>
      </c>
      <c r="D16" s="245" t="s">
        <v>895</v>
      </c>
      <c r="E16" s="245" t="s">
        <v>895</v>
      </c>
      <c r="F16" s="245" t="s">
        <v>895</v>
      </c>
      <c r="G16" s="245" t="s">
        <v>895</v>
      </c>
    </row>
    <row r="17" spans="2:7">
      <c r="B17" s="32" t="s">
        <v>385</v>
      </c>
      <c r="C17" s="349" t="s">
        <v>894</v>
      </c>
      <c r="D17" s="349" t="s">
        <v>894</v>
      </c>
      <c r="E17" s="349" t="s">
        <v>894</v>
      </c>
      <c r="F17" s="349" t="s">
        <v>894</v>
      </c>
      <c r="G17" s="349" t="s">
        <v>894</v>
      </c>
    </row>
    <row r="18" spans="2:7">
      <c r="B18" s="32" t="s">
        <v>337</v>
      </c>
      <c r="C18" s="349" t="s">
        <v>894</v>
      </c>
      <c r="D18" s="349" t="s">
        <v>894</v>
      </c>
      <c r="E18" s="349" t="s">
        <v>894</v>
      </c>
      <c r="F18" s="349" t="s">
        <v>894</v>
      </c>
      <c r="G18" s="349" t="s">
        <v>894</v>
      </c>
    </row>
    <row r="19" spans="2:7" ht="15">
      <c r="B19" s="32" t="s">
        <v>386</v>
      </c>
      <c r="C19" s="350" t="s">
        <v>896</v>
      </c>
      <c r="D19" s="350" t="s">
        <v>897</v>
      </c>
      <c r="E19" s="350" t="s">
        <v>898</v>
      </c>
      <c r="F19" s="350" t="s">
        <v>899</v>
      </c>
      <c r="G19" s="350" t="s">
        <v>899</v>
      </c>
    </row>
    <row r="20" spans="2:7" ht="15">
      <c r="B20" s="32" t="s">
        <v>338</v>
      </c>
      <c r="C20" s="351" t="s">
        <v>900</v>
      </c>
      <c r="D20" s="352" t="s">
        <v>901</v>
      </c>
      <c r="E20" s="352" t="s">
        <v>902</v>
      </c>
      <c r="F20" s="350" t="s">
        <v>894</v>
      </c>
      <c r="G20" s="350" t="s">
        <v>894</v>
      </c>
    </row>
    <row r="21" spans="2:7" ht="15">
      <c r="B21" s="32" t="s">
        <v>387</v>
      </c>
      <c r="C21" s="350" t="s">
        <v>903</v>
      </c>
      <c r="D21" s="350" t="s">
        <v>903</v>
      </c>
      <c r="E21" s="350" t="s">
        <v>903</v>
      </c>
      <c r="F21" s="350" t="s">
        <v>903</v>
      </c>
      <c r="G21" s="350" t="s">
        <v>903</v>
      </c>
    </row>
    <row r="22" spans="2:7" ht="15">
      <c r="B22" s="32" t="s">
        <v>339</v>
      </c>
      <c r="C22" s="351" t="s">
        <v>904</v>
      </c>
      <c r="D22" s="350" t="s">
        <v>905</v>
      </c>
      <c r="E22" s="350" t="s">
        <v>905</v>
      </c>
      <c r="F22" s="350" t="s">
        <v>894</v>
      </c>
      <c r="G22" s="350" t="s">
        <v>894</v>
      </c>
    </row>
    <row r="23" spans="2:7" ht="15">
      <c r="B23" s="32" t="s">
        <v>388</v>
      </c>
      <c r="C23" s="350" t="s">
        <v>906</v>
      </c>
      <c r="D23" s="350" t="s">
        <v>907</v>
      </c>
      <c r="E23" s="350" t="s">
        <v>907</v>
      </c>
      <c r="F23" s="350" t="s">
        <v>906</v>
      </c>
      <c r="G23" s="350" t="s">
        <v>906</v>
      </c>
    </row>
    <row r="24" spans="2:7" ht="15">
      <c r="B24" s="32" t="s">
        <v>389</v>
      </c>
      <c r="C24" s="350">
        <v>60</v>
      </c>
      <c r="D24" s="350">
        <v>180</v>
      </c>
      <c r="E24" s="350">
        <v>180</v>
      </c>
      <c r="F24" s="350">
        <v>60</v>
      </c>
      <c r="G24" s="350">
        <v>60</v>
      </c>
    </row>
    <row r="25" spans="2:7" ht="15">
      <c r="B25" s="32" t="s">
        <v>908</v>
      </c>
      <c r="C25" s="350" t="s">
        <v>909</v>
      </c>
      <c r="D25" s="350" t="s">
        <v>909</v>
      </c>
      <c r="E25" s="350" t="s">
        <v>909</v>
      </c>
      <c r="F25" s="350" t="s">
        <v>909</v>
      </c>
      <c r="G25" s="350" t="s">
        <v>909</v>
      </c>
    </row>
    <row r="26" spans="2:7">
      <c r="C26" s="40"/>
      <c r="D26" s="40"/>
      <c r="E26" s="40"/>
      <c r="F26" s="40"/>
      <c r="G26" s="40"/>
    </row>
    <row r="27" spans="2:7" ht="14.25" customHeight="1">
      <c r="B27" s="591" t="s">
        <v>390</v>
      </c>
      <c r="C27" s="591"/>
    </row>
    <row r="28" spans="2:7" ht="14.25" customHeight="1">
      <c r="B28" s="591" t="s">
        <v>391</v>
      </c>
      <c r="C28" s="591"/>
    </row>
    <row r="29" spans="2:7" ht="14.25" customHeight="1">
      <c r="B29" s="591" t="s">
        <v>392</v>
      </c>
      <c r="C29" s="591"/>
    </row>
    <row r="30" spans="2:7" ht="14.25" customHeight="1">
      <c r="B30" s="591" t="s">
        <v>393</v>
      </c>
      <c r="C30" s="591"/>
    </row>
    <row r="31" spans="2:7" ht="14.25" customHeight="1">
      <c r="B31" s="591" t="s">
        <v>394</v>
      </c>
      <c r="C31" s="591"/>
    </row>
    <row r="32" spans="2:7" ht="14.25" customHeight="1">
      <c r="B32" s="591" t="s">
        <v>395</v>
      </c>
      <c r="C32" s="591"/>
    </row>
    <row r="33" spans="2:3" ht="14.25" customHeight="1">
      <c r="B33" s="591" t="s">
        <v>396</v>
      </c>
      <c r="C33" s="591"/>
    </row>
    <row r="34" spans="2:3" ht="14.25" customHeight="1">
      <c r="B34" s="591" t="s">
        <v>910</v>
      </c>
      <c r="C34" s="591"/>
    </row>
    <row r="35" spans="2:3" ht="14.25" customHeight="1">
      <c r="B35" s="591" t="s">
        <v>397</v>
      </c>
      <c r="C35" s="591"/>
    </row>
    <row r="36" spans="2:3" ht="14.25" customHeight="1">
      <c r="B36" s="591" t="s">
        <v>398</v>
      </c>
      <c r="C36" s="591"/>
    </row>
    <row r="37" spans="2:3" ht="14.25" customHeight="1">
      <c r="B37" s="591" t="s">
        <v>911</v>
      </c>
      <c r="C37" s="591"/>
    </row>
  </sheetData>
  <mergeCells count="17">
    <mergeCell ref="B29:C29"/>
    <mergeCell ref="B27:C27"/>
    <mergeCell ref="B28:C28"/>
    <mergeCell ref="B2:G2"/>
    <mergeCell ref="B3:G3"/>
    <mergeCell ref="B4:G4"/>
    <mergeCell ref="C5:E5"/>
    <mergeCell ref="B6:B7"/>
    <mergeCell ref="C6:G6"/>
    <mergeCell ref="B37:C37"/>
    <mergeCell ref="B30:C30"/>
    <mergeCell ref="B31:C31"/>
    <mergeCell ref="B32:C32"/>
    <mergeCell ref="B33:C33"/>
    <mergeCell ref="B34:C34"/>
    <mergeCell ref="B35:C35"/>
    <mergeCell ref="B36:C36"/>
  </mergeCells>
  <printOptions horizontalCentered="1" verticalCentered="1"/>
  <pageMargins left="0.21" right="0.222440945" top="0.734251969" bottom="0.49" header="0.511811023622047" footer="0.44"/>
  <pageSetup paperSize="9" scale="92"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L109"/>
  <sheetViews>
    <sheetView workbookViewId="0">
      <selection activeCell="L24" sqref="L24"/>
    </sheetView>
  </sheetViews>
  <sheetFormatPr defaultRowHeight="12.75"/>
  <cols>
    <col min="1" max="1" width="17" customWidth="1"/>
    <col min="2" max="2" width="22.42578125" customWidth="1"/>
    <col min="3" max="3" width="13.140625" customWidth="1"/>
    <col min="4" max="4" width="15.42578125" customWidth="1"/>
    <col min="5" max="5" width="14.85546875" customWidth="1"/>
    <col min="6" max="6" width="16" customWidth="1"/>
    <col min="257" max="257" width="14.28515625" customWidth="1"/>
    <col min="258" max="258" width="25.7109375" customWidth="1"/>
    <col min="259" max="259" width="13.5703125" customWidth="1"/>
    <col min="260" max="260" width="13.85546875" customWidth="1"/>
    <col min="261" max="261" width="13.28515625" customWidth="1"/>
    <col min="262" max="262" width="15.7109375" customWidth="1"/>
    <col min="513" max="513" width="14.28515625" customWidth="1"/>
    <col min="514" max="514" width="25.7109375" customWidth="1"/>
    <col min="515" max="515" width="13.5703125" customWidth="1"/>
    <col min="516" max="516" width="13.85546875" customWidth="1"/>
    <col min="517" max="517" width="13.28515625" customWidth="1"/>
    <col min="518" max="518" width="15.7109375" customWidth="1"/>
    <col min="769" max="769" width="14.28515625" customWidth="1"/>
    <col min="770" max="770" width="25.7109375" customWidth="1"/>
    <col min="771" max="771" width="13.5703125" customWidth="1"/>
    <col min="772" max="772" width="13.85546875" customWidth="1"/>
    <col min="773" max="773" width="13.28515625" customWidth="1"/>
    <col min="774" max="774" width="15.7109375" customWidth="1"/>
    <col min="1025" max="1025" width="14.28515625" customWidth="1"/>
    <col min="1026" max="1026" width="25.7109375" customWidth="1"/>
    <col min="1027" max="1027" width="13.5703125" customWidth="1"/>
    <col min="1028" max="1028" width="13.85546875" customWidth="1"/>
    <col min="1029" max="1029" width="13.28515625" customWidth="1"/>
    <col min="1030" max="1030" width="15.7109375" customWidth="1"/>
    <col min="1281" max="1281" width="14.28515625" customWidth="1"/>
    <col min="1282" max="1282" width="25.7109375" customWidth="1"/>
    <col min="1283" max="1283" width="13.5703125" customWidth="1"/>
    <col min="1284" max="1284" width="13.85546875" customWidth="1"/>
    <col min="1285" max="1285" width="13.28515625" customWidth="1"/>
    <col min="1286" max="1286" width="15.7109375" customWidth="1"/>
    <col min="1537" max="1537" width="14.28515625" customWidth="1"/>
    <col min="1538" max="1538" width="25.7109375" customWidth="1"/>
    <col min="1539" max="1539" width="13.5703125" customWidth="1"/>
    <col min="1540" max="1540" width="13.85546875" customWidth="1"/>
    <col min="1541" max="1541" width="13.28515625" customWidth="1"/>
    <col min="1542" max="1542" width="15.7109375" customWidth="1"/>
    <col min="1793" max="1793" width="14.28515625" customWidth="1"/>
    <col min="1794" max="1794" width="25.7109375" customWidth="1"/>
    <col min="1795" max="1795" width="13.5703125" customWidth="1"/>
    <col min="1796" max="1796" width="13.85546875" customWidth="1"/>
    <col min="1797" max="1797" width="13.28515625" customWidth="1"/>
    <col min="1798" max="1798" width="15.7109375" customWidth="1"/>
    <col min="2049" max="2049" width="14.28515625" customWidth="1"/>
    <col min="2050" max="2050" width="25.7109375" customWidth="1"/>
    <col min="2051" max="2051" width="13.5703125" customWidth="1"/>
    <col min="2052" max="2052" width="13.85546875" customWidth="1"/>
    <col min="2053" max="2053" width="13.28515625" customWidth="1"/>
    <col min="2054" max="2054" width="15.7109375" customWidth="1"/>
    <col min="2305" max="2305" width="14.28515625" customWidth="1"/>
    <col min="2306" max="2306" width="25.7109375" customWidth="1"/>
    <col min="2307" max="2307" width="13.5703125" customWidth="1"/>
    <col min="2308" max="2308" width="13.85546875" customWidth="1"/>
    <col min="2309" max="2309" width="13.28515625" customWidth="1"/>
    <col min="2310" max="2310" width="15.7109375" customWidth="1"/>
    <col min="2561" max="2561" width="14.28515625" customWidth="1"/>
    <col min="2562" max="2562" width="25.7109375" customWidth="1"/>
    <col min="2563" max="2563" width="13.5703125" customWidth="1"/>
    <col min="2564" max="2564" width="13.85546875" customWidth="1"/>
    <col min="2565" max="2565" width="13.28515625" customWidth="1"/>
    <col min="2566" max="2566" width="15.7109375" customWidth="1"/>
    <col min="2817" max="2817" width="14.28515625" customWidth="1"/>
    <col min="2818" max="2818" width="25.7109375" customWidth="1"/>
    <col min="2819" max="2819" width="13.5703125" customWidth="1"/>
    <col min="2820" max="2820" width="13.85546875" customWidth="1"/>
    <col min="2821" max="2821" width="13.28515625" customWidth="1"/>
    <col min="2822" max="2822" width="15.7109375" customWidth="1"/>
    <col min="3073" max="3073" width="14.28515625" customWidth="1"/>
    <col min="3074" max="3074" width="25.7109375" customWidth="1"/>
    <col min="3075" max="3075" width="13.5703125" customWidth="1"/>
    <col min="3076" max="3076" width="13.85546875" customWidth="1"/>
    <col min="3077" max="3077" width="13.28515625" customWidth="1"/>
    <col min="3078" max="3078" width="15.7109375" customWidth="1"/>
    <col min="3329" max="3329" width="14.28515625" customWidth="1"/>
    <col min="3330" max="3330" width="25.7109375" customWidth="1"/>
    <col min="3331" max="3331" width="13.5703125" customWidth="1"/>
    <col min="3332" max="3332" width="13.85546875" customWidth="1"/>
    <col min="3333" max="3333" width="13.28515625" customWidth="1"/>
    <col min="3334" max="3334" width="15.7109375" customWidth="1"/>
    <col min="3585" max="3585" width="14.28515625" customWidth="1"/>
    <col min="3586" max="3586" width="25.7109375" customWidth="1"/>
    <col min="3587" max="3587" width="13.5703125" customWidth="1"/>
    <col min="3588" max="3588" width="13.85546875" customWidth="1"/>
    <col min="3589" max="3589" width="13.28515625" customWidth="1"/>
    <col min="3590" max="3590" width="15.7109375" customWidth="1"/>
    <col min="3841" max="3841" width="14.28515625" customWidth="1"/>
    <col min="3842" max="3842" width="25.7109375" customWidth="1"/>
    <col min="3843" max="3843" width="13.5703125" customWidth="1"/>
    <col min="3844" max="3844" width="13.85546875" customWidth="1"/>
    <col min="3845" max="3845" width="13.28515625" customWidth="1"/>
    <col min="3846" max="3846" width="15.7109375" customWidth="1"/>
    <col min="4097" max="4097" width="14.28515625" customWidth="1"/>
    <col min="4098" max="4098" width="25.7109375" customWidth="1"/>
    <col min="4099" max="4099" width="13.5703125" customWidth="1"/>
    <col min="4100" max="4100" width="13.85546875" customWidth="1"/>
    <col min="4101" max="4101" width="13.28515625" customWidth="1"/>
    <col min="4102" max="4102" width="15.7109375" customWidth="1"/>
    <col min="4353" max="4353" width="14.28515625" customWidth="1"/>
    <col min="4354" max="4354" width="25.7109375" customWidth="1"/>
    <col min="4355" max="4355" width="13.5703125" customWidth="1"/>
    <col min="4356" max="4356" width="13.85546875" customWidth="1"/>
    <col min="4357" max="4357" width="13.28515625" customWidth="1"/>
    <col min="4358" max="4358" width="15.7109375" customWidth="1"/>
    <col min="4609" max="4609" width="14.28515625" customWidth="1"/>
    <col min="4610" max="4610" width="25.7109375" customWidth="1"/>
    <col min="4611" max="4611" width="13.5703125" customWidth="1"/>
    <col min="4612" max="4612" width="13.85546875" customWidth="1"/>
    <col min="4613" max="4613" width="13.28515625" customWidth="1"/>
    <col min="4614" max="4614" width="15.7109375" customWidth="1"/>
    <col min="4865" max="4865" width="14.28515625" customWidth="1"/>
    <col min="4866" max="4866" width="25.7109375" customWidth="1"/>
    <col min="4867" max="4867" width="13.5703125" customWidth="1"/>
    <col min="4868" max="4868" width="13.85546875" customWidth="1"/>
    <col min="4869" max="4869" width="13.28515625" customWidth="1"/>
    <col min="4870" max="4870" width="15.7109375" customWidth="1"/>
    <col min="5121" max="5121" width="14.28515625" customWidth="1"/>
    <col min="5122" max="5122" width="25.7109375" customWidth="1"/>
    <col min="5123" max="5123" width="13.5703125" customWidth="1"/>
    <col min="5124" max="5124" width="13.85546875" customWidth="1"/>
    <col min="5125" max="5125" width="13.28515625" customWidth="1"/>
    <col min="5126" max="5126" width="15.7109375" customWidth="1"/>
    <col min="5377" max="5377" width="14.28515625" customWidth="1"/>
    <col min="5378" max="5378" width="25.7109375" customWidth="1"/>
    <col min="5379" max="5379" width="13.5703125" customWidth="1"/>
    <col min="5380" max="5380" width="13.85546875" customWidth="1"/>
    <col min="5381" max="5381" width="13.28515625" customWidth="1"/>
    <col min="5382" max="5382" width="15.7109375" customWidth="1"/>
    <col min="5633" max="5633" width="14.28515625" customWidth="1"/>
    <col min="5634" max="5634" width="25.7109375" customWidth="1"/>
    <col min="5635" max="5635" width="13.5703125" customWidth="1"/>
    <col min="5636" max="5636" width="13.85546875" customWidth="1"/>
    <col min="5637" max="5637" width="13.28515625" customWidth="1"/>
    <col min="5638" max="5638" width="15.7109375" customWidth="1"/>
    <col min="5889" max="5889" width="14.28515625" customWidth="1"/>
    <col min="5890" max="5890" width="25.7109375" customWidth="1"/>
    <col min="5891" max="5891" width="13.5703125" customWidth="1"/>
    <col min="5892" max="5892" width="13.85546875" customWidth="1"/>
    <col min="5893" max="5893" width="13.28515625" customWidth="1"/>
    <col min="5894" max="5894" width="15.7109375" customWidth="1"/>
    <col min="6145" max="6145" width="14.28515625" customWidth="1"/>
    <col min="6146" max="6146" width="25.7109375" customWidth="1"/>
    <col min="6147" max="6147" width="13.5703125" customWidth="1"/>
    <col min="6148" max="6148" width="13.85546875" customWidth="1"/>
    <col min="6149" max="6149" width="13.28515625" customWidth="1"/>
    <col min="6150" max="6150" width="15.7109375" customWidth="1"/>
    <col min="6401" max="6401" width="14.28515625" customWidth="1"/>
    <col min="6402" max="6402" width="25.7109375" customWidth="1"/>
    <col min="6403" max="6403" width="13.5703125" customWidth="1"/>
    <col min="6404" max="6404" width="13.85546875" customWidth="1"/>
    <col min="6405" max="6405" width="13.28515625" customWidth="1"/>
    <col min="6406" max="6406" width="15.7109375" customWidth="1"/>
    <col min="6657" max="6657" width="14.28515625" customWidth="1"/>
    <col min="6658" max="6658" width="25.7109375" customWidth="1"/>
    <col min="6659" max="6659" width="13.5703125" customWidth="1"/>
    <col min="6660" max="6660" width="13.85546875" customWidth="1"/>
    <col min="6661" max="6661" width="13.28515625" customWidth="1"/>
    <col min="6662" max="6662" width="15.7109375" customWidth="1"/>
    <col min="6913" max="6913" width="14.28515625" customWidth="1"/>
    <col min="6914" max="6914" width="25.7109375" customWidth="1"/>
    <col min="6915" max="6915" width="13.5703125" customWidth="1"/>
    <col min="6916" max="6916" width="13.85546875" customWidth="1"/>
    <col min="6917" max="6917" width="13.28515625" customWidth="1"/>
    <col min="6918" max="6918" width="15.7109375" customWidth="1"/>
    <col min="7169" max="7169" width="14.28515625" customWidth="1"/>
    <col min="7170" max="7170" width="25.7109375" customWidth="1"/>
    <col min="7171" max="7171" width="13.5703125" customWidth="1"/>
    <col min="7172" max="7172" width="13.85546875" customWidth="1"/>
    <col min="7173" max="7173" width="13.28515625" customWidth="1"/>
    <col min="7174" max="7174" width="15.7109375" customWidth="1"/>
    <col min="7425" max="7425" width="14.28515625" customWidth="1"/>
    <col min="7426" max="7426" width="25.7109375" customWidth="1"/>
    <col min="7427" max="7427" width="13.5703125" customWidth="1"/>
    <col min="7428" max="7428" width="13.85546875" customWidth="1"/>
    <col min="7429" max="7429" width="13.28515625" customWidth="1"/>
    <col min="7430" max="7430" width="15.7109375" customWidth="1"/>
    <col min="7681" max="7681" width="14.28515625" customWidth="1"/>
    <col min="7682" max="7682" width="25.7109375" customWidth="1"/>
    <col min="7683" max="7683" width="13.5703125" customWidth="1"/>
    <col min="7684" max="7684" width="13.85546875" customWidth="1"/>
    <col min="7685" max="7685" width="13.28515625" customWidth="1"/>
    <col min="7686" max="7686" width="15.7109375" customWidth="1"/>
    <col min="7937" max="7937" width="14.28515625" customWidth="1"/>
    <col min="7938" max="7938" width="25.7109375" customWidth="1"/>
    <col min="7939" max="7939" width="13.5703125" customWidth="1"/>
    <col min="7940" max="7940" width="13.85546875" customWidth="1"/>
    <col min="7941" max="7941" width="13.28515625" customWidth="1"/>
    <col min="7942" max="7942" width="15.7109375" customWidth="1"/>
    <col min="8193" max="8193" width="14.28515625" customWidth="1"/>
    <col min="8194" max="8194" width="25.7109375" customWidth="1"/>
    <col min="8195" max="8195" width="13.5703125" customWidth="1"/>
    <col min="8196" max="8196" width="13.85546875" customWidth="1"/>
    <col min="8197" max="8197" width="13.28515625" customWidth="1"/>
    <col min="8198" max="8198" width="15.7109375" customWidth="1"/>
    <col min="8449" max="8449" width="14.28515625" customWidth="1"/>
    <col min="8450" max="8450" width="25.7109375" customWidth="1"/>
    <col min="8451" max="8451" width="13.5703125" customWidth="1"/>
    <col min="8452" max="8452" width="13.85546875" customWidth="1"/>
    <col min="8453" max="8453" width="13.28515625" customWidth="1"/>
    <col min="8454" max="8454" width="15.7109375" customWidth="1"/>
    <col min="8705" max="8705" width="14.28515625" customWidth="1"/>
    <col min="8706" max="8706" width="25.7109375" customWidth="1"/>
    <col min="8707" max="8707" width="13.5703125" customWidth="1"/>
    <col min="8708" max="8708" width="13.85546875" customWidth="1"/>
    <col min="8709" max="8709" width="13.28515625" customWidth="1"/>
    <col min="8710" max="8710" width="15.7109375" customWidth="1"/>
    <col min="8961" max="8961" width="14.28515625" customWidth="1"/>
    <col min="8962" max="8962" width="25.7109375" customWidth="1"/>
    <col min="8963" max="8963" width="13.5703125" customWidth="1"/>
    <col min="8964" max="8964" width="13.85546875" customWidth="1"/>
    <col min="8965" max="8965" width="13.28515625" customWidth="1"/>
    <col min="8966" max="8966" width="15.7109375" customWidth="1"/>
    <col min="9217" max="9217" width="14.28515625" customWidth="1"/>
    <col min="9218" max="9218" width="25.7109375" customWidth="1"/>
    <col min="9219" max="9219" width="13.5703125" customWidth="1"/>
    <col min="9220" max="9220" width="13.85546875" customWidth="1"/>
    <col min="9221" max="9221" width="13.28515625" customWidth="1"/>
    <col min="9222" max="9222" width="15.7109375" customWidth="1"/>
    <col min="9473" max="9473" width="14.28515625" customWidth="1"/>
    <col min="9474" max="9474" width="25.7109375" customWidth="1"/>
    <col min="9475" max="9475" width="13.5703125" customWidth="1"/>
    <col min="9476" max="9476" width="13.85546875" customWidth="1"/>
    <col min="9477" max="9477" width="13.28515625" customWidth="1"/>
    <col min="9478" max="9478" width="15.7109375" customWidth="1"/>
    <col min="9729" max="9729" width="14.28515625" customWidth="1"/>
    <col min="9730" max="9730" width="25.7109375" customWidth="1"/>
    <col min="9731" max="9731" width="13.5703125" customWidth="1"/>
    <col min="9732" max="9732" width="13.85546875" customWidth="1"/>
    <col min="9733" max="9733" width="13.28515625" customWidth="1"/>
    <col min="9734" max="9734" width="15.7109375" customWidth="1"/>
    <col min="9985" max="9985" width="14.28515625" customWidth="1"/>
    <col min="9986" max="9986" width="25.7109375" customWidth="1"/>
    <col min="9987" max="9987" width="13.5703125" customWidth="1"/>
    <col min="9988" max="9988" width="13.85546875" customWidth="1"/>
    <col min="9989" max="9989" width="13.28515625" customWidth="1"/>
    <col min="9990" max="9990" width="15.7109375" customWidth="1"/>
    <col min="10241" max="10241" width="14.28515625" customWidth="1"/>
    <col min="10242" max="10242" width="25.7109375" customWidth="1"/>
    <col min="10243" max="10243" width="13.5703125" customWidth="1"/>
    <col min="10244" max="10244" width="13.85546875" customWidth="1"/>
    <col min="10245" max="10245" width="13.28515625" customWidth="1"/>
    <col min="10246" max="10246" width="15.7109375" customWidth="1"/>
    <col min="10497" max="10497" width="14.28515625" customWidth="1"/>
    <col min="10498" max="10498" width="25.7109375" customWidth="1"/>
    <col min="10499" max="10499" width="13.5703125" customWidth="1"/>
    <col min="10500" max="10500" width="13.85546875" customWidth="1"/>
    <col min="10501" max="10501" width="13.28515625" customWidth="1"/>
    <col min="10502" max="10502" width="15.7109375" customWidth="1"/>
    <col min="10753" max="10753" width="14.28515625" customWidth="1"/>
    <col min="10754" max="10754" width="25.7109375" customWidth="1"/>
    <col min="10755" max="10755" width="13.5703125" customWidth="1"/>
    <col min="10756" max="10756" width="13.85546875" customWidth="1"/>
    <col min="10757" max="10757" width="13.28515625" customWidth="1"/>
    <col min="10758" max="10758" width="15.7109375" customWidth="1"/>
    <col min="11009" max="11009" width="14.28515625" customWidth="1"/>
    <col min="11010" max="11010" width="25.7109375" customWidth="1"/>
    <col min="11011" max="11011" width="13.5703125" customWidth="1"/>
    <col min="11012" max="11012" width="13.85546875" customWidth="1"/>
    <col min="11013" max="11013" width="13.28515625" customWidth="1"/>
    <col min="11014" max="11014" width="15.7109375" customWidth="1"/>
    <col min="11265" max="11265" width="14.28515625" customWidth="1"/>
    <col min="11266" max="11266" width="25.7109375" customWidth="1"/>
    <col min="11267" max="11267" width="13.5703125" customWidth="1"/>
    <col min="11268" max="11268" width="13.85546875" customWidth="1"/>
    <col min="11269" max="11269" width="13.28515625" customWidth="1"/>
    <col min="11270" max="11270" width="15.7109375" customWidth="1"/>
    <col min="11521" max="11521" width="14.28515625" customWidth="1"/>
    <col min="11522" max="11522" width="25.7109375" customWidth="1"/>
    <col min="11523" max="11523" width="13.5703125" customWidth="1"/>
    <col min="11524" max="11524" width="13.85546875" customWidth="1"/>
    <col min="11525" max="11525" width="13.28515625" customWidth="1"/>
    <col min="11526" max="11526" width="15.7109375" customWidth="1"/>
    <col min="11777" max="11777" width="14.28515625" customWidth="1"/>
    <col min="11778" max="11778" width="25.7109375" customWidth="1"/>
    <col min="11779" max="11779" width="13.5703125" customWidth="1"/>
    <col min="11780" max="11780" width="13.85546875" customWidth="1"/>
    <col min="11781" max="11781" width="13.28515625" customWidth="1"/>
    <col min="11782" max="11782" width="15.7109375" customWidth="1"/>
    <col min="12033" max="12033" width="14.28515625" customWidth="1"/>
    <col min="12034" max="12034" width="25.7109375" customWidth="1"/>
    <col min="12035" max="12035" width="13.5703125" customWidth="1"/>
    <col min="12036" max="12036" width="13.85546875" customWidth="1"/>
    <col min="12037" max="12037" width="13.28515625" customWidth="1"/>
    <col min="12038" max="12038" width="15.7109375" customWidth="1"/>
    <col min="12289" max="12289" width="14.28515625" customWidth="1"/>
    <col min="12290" max="12290" width="25.7109375" customWidth="1"/>
    <col min="12291" max="12291" width="13.5703125" customWidth="1"/>
    <col min="12292" max="12292" width="13.85546875" customWidth="1"/>
    <col min="12293" max="12293" width="13.28515625" customWidth="1"/>
    <col min="12294" max="12294" width="15.7109375" customWidth="1"/>
    <col min="12545" max="12545" width="14.28515625" customWidth="1"/>
    <col min="12546" max="12546" width="25.7109375" customWidth="1"/>
    <col min="12547" max="12547" width="13.5703125" customWidth="1"/>
    <col min="12548" max="12548" width="13.85546875" customWidth="1"/>
    <col min="12549" max="12549" width="13.28515625" customWidth="1"/>
    <col min="12550" max="12550" width="15.7109375" customWidth="1"/>
    <col min="12801" max="12801" width="14.28515625" customWidth="1"/>
    <col min="12802" max="12802" width="25.7109375" customWidth="1"/>
    <col min="12803" max="12803" width="13.5703125" customWidth="1"/>
    <col min="12804" max="12804" width="13.85546875" customWidth="1"/>
    <col min="12805" max="12805" width="13.28515625" customWidth="1"/>
    <col min="12806" max="12806" width="15.7109375" customWidth="1"/>
    <col min="13057" max="13057" width="14.28515625" customWidth="1"/>
    <col min="13058" max="13058" width="25.7109375" customWidth="1"/>
    <col min="13059" max="13059" width="13.5703125" customWidth="1"/>
    <col min="13060" max="13060" width="13.85546875" customWidth="1"/>
    <col min="13061" max="13061" width="13.28515625" customWidth="1"/>
    <col min="13062" max="13062" width="15.7109375" customWidth="1"/>
    <col min="13313" max="13313" width="14.28515625" customWidth="1"/>
    <col min="13314" max="13314" width="25.7109375" customWidth="1"/>
    <col min="13315" max="13315" width="13.5703125" customWidth="1"/>
    <col min="13316" max="13316" width="13.85546875" customWidth="1"/>
    <col min="13317" max="13317" width="13.28515625" customWidth="1"/>
    <col min="13318" max="13318" width="15.7109375" customWidth="1"/>
    <col min="13569" max="13569" width="14.28515625" customWidth="1"/>
    <col min="13570" max="13570" width="25.7109375" customWidth="1"/>
    <col min="13571" max="13571" width="13.5703125" customWidth="1"/>
    <col min="13572" max="13572" width="13.85546875" customWidth="1"/>
    <col min="13573" max="13573" width="13.28515625" customWidth="1"/>
    <col min="13574" max="13574" width="15.7109375" customWidth="1"/>
    <col min="13825" max="13825" width="14.28515625" customWidth="1"/>
    <col min="13826" max="13826" width="25.7109375" customWidth="1"/>
    <col min="13827" max="13827" width="13.5703125" customWidth="1"/>
    <col min="13828" max="13828" width="13.85546875" customWidth="1"/>
    <col min="13829" max="13829" width="13.28515625" customWidth="1"/>
    <col min="13830" max="13830" width="15.7109375" customWidth="1"/>
    <col min="14081" max="14081" width="14.28515625" customWidth="1"/>
    <col min="14082" max="14082" width="25.7109375" customWidth="1"/>
    <col min="14083" max="14083" width="13.5703125" customWidth="1"/>
    <col min="14084" max="14084" width="13.85546875" customWidth="1"/>
    <col min="14085" max="14085" width="13.28515625" customWidth="1"/>
    <col min="14086" max="14086" width="15.7109375" customWidth="1"/>
    <col min="14337" max="14337" width="14.28515625" customWidth="1"/>
    <col min="14338" max="14338" width="25.7109375" customWidth="1"/>
    <col min="14339" max="14339" width="13.5703125" customWidth="1"/>
    <col min="14340" max="14340" width="13.85546875" customWidth="1"/>
    <col min="14341" max="14341" width="13.28515625" customWidth="1"/>
    <col min="14342" max="14342" width="15.7109375" customWidth="1"/>
    <col min="14593" max="14593" width="14.28515625" customWidth="1"/>
    <col min="14594" max="14594" width="25.7109375" customWidth="1"/>
    <col min="14595" max="14595" width="13.5703125" customWidth="1"/>
    <col min="14596" max="14596" width="13.85546875" customWidth="1"/>
    <col min="14597" max="14597" width="13.28515625" customWidth="1"/>
    <col min="14598" max="14598" width="15.7109375" customWidth="1"/>
    <col min="14849" max="14849" width="14.28515625" customWidth="1"/>
    <col min="14850" max="14850" width="25.7109375" customWidth="1"/>
    <col min="14851" max="14851" width="13.5703125" customWidth="1"/>
    <col min="14852" max="14852" width="13.85546875" customWidth="1"/>
    <col min="14853" max="14853" width="13.28515625" customWidth="1"/>
    <col min="14854" max="14854" width="15.7109375" customWidth="1"/>
    <col min="15105" max="15105" width="14.28515625" customWidth="1"/>
    <col min="15106" max="15106" width="25.7109375" customWidth="1"/>
    <col min="15107" max="15107" width="13.5703125" customWidth="1"/>
    <col min="15108" max="15108" width="13.85546875" customWidth="1"/>
    <col min="15109" max="15109" width="13.28515625" customWidth="1"/>
    <col min="15110" max="15110" width="15.7109375" customWidth="1"/>
    <col min="15361" max="15361" width="14.28515625" customWidth="1"/>
    <col min="15362" max="15362" width="25.7109375" customWidth="1"/>
    <col min="15363" max="15363" width="13.5703125" customWidth="1"/>
    <col min="15364" max="15364" width="13.85546875" customWidth="1"/>
    <col min="15365" max="15365" width="13.28515625" customWidth="1"/>
    <col min="15366" max="15366" width="15.7109375" customWidth="1"/>
    <col min="15617" max="15617" width="14.28515625" customWidth="1"/>
    <col min="15618" max="15618" width="25.7109375" customWidth="1"/>
    <col min="15619" max="15619" width="13.5703125" customWidth="1"/>
    <col min="15620" max="15620" width="13.85546875" customWidth="1"/>
    <col min="15621" max="15621" width="13.28515625" customWidth="1"/>
    <col min="15622" max="15622" width="15.7109375" customWidth="1"/>
    <col min="15873" max="15873" width="14.28515625" customWidth="1"/>
    <col min="15874" max="15874" width="25.7109375" customWidth="1"/>
    <col min="15875" max="15875" width="13.5703125" customWidth="1"/>
    <col min="15876" max="15876" width="13.85546875" customWidth="1"/>
    <col min="15877" max="15877" width="13.28515625" customWidth="1"/>
    <col min="15878" max="15878" width="15.7109375" customWidth="1"/>
    <col min="16129" max="16129" width="14.28515625" customWidth="1"/>
    <col min="16130" max="16130" width="25.7109375" customWidth="1"/>
    <col min="16131" max="16131" width="13.5703125" customWidth="1"/>
    <col min="16132" max="16132" width="13.85546875" customWidth="1"/>
    <col min="16133" max="16133" width="13.28515625" customWidth="1"/>
    <col min="16134" max="16134" width="15.7109375" customWidth="1"/>
  </cols>
  <sheetData>
    <row r="1" spans="1:6" ht="23.25" customHeight="1">
      <c r="A1" s="702" t="s">
        <v>912</v>
      </c>
      <c r="B1" s="702"/>
      <c r="C1" s="702"/>
      <c r="D1" s="702"/>
      <c r="E1" s="702"/>
      <c r="F1" s="702"/>
    </row>
    <row r="2" spans="1:6" ht="20.25" customHeight="1">
      <c r="A2" s="702" t="s">
        <v>967</v>
      </c>
      <c r="B2" s="702"/>
      <c r="C2" s="702"/>
      <c r="D2" s="702"/>
      <c r="E2" s="702"/>
      <c r="F2" s="702"/>
    </row>
    <row r="3" spans="1:6" ht="15" customHeight="1">
      <c r="A3" s="702" t="s">
        <v>913</v>
      </c>
      <c r="B3" s="702"/>
      <c r="C3" s="702"/>
      <c r="D3" s="702"/>
      <c r="E3" s="702"/>
      <c r="F3" s="702"/>
    </row>
    <row r="4" spans="1:6" ht="15.75" customHeight="1">
      <c r="A4" s="703" t="s">
        <v>914</v>
      </c>
      <c r="B4" s="703"/>
      <c r="C4" s="703"/>
      <c r="D4" s="703"/>
      <c r="E4" s="703"/>
      <c r="F4" s="703"/>
    </row>
    <row r="5" spans="1:6" ht="18" customHeight="1">
      <c r="A5" s="703" t="s">
        <v>933</v>
      </c>
      <c r="B5" s="703"/>
      <c r="C5" s="703"/>
      <c r="D5" s="703"/>
      <c r="E5" s="703"/>
      <c r="F5" s="703"/>
    </row>
    <row r="6" spans="1:6" s="475" customFormat="1" ht="25.5">
      <c r="A6" s="474" t="s">
        <v>379</v>
      </c>
      <c r="B6" s="474" t="s">
        <v>557</v>
      </c>
      <c r="C6" s="474" t="s">
        <v>915</v>
      </c>
      <c r="D6" s="353" t="s">
        <v>916</v>
      </c>
      <c r="E6" s="353" t="s">
        <v>917</v>
      </c>
      <c r="F6" s="474" t="s">
        <v>918</v>
      </c>
    </row>
    <row r="7" spans="1:6">
      <c r="A7" s="704" t="s">
        <v>919</v>
      </c>
      <c r="B7" s="251" t="s">
        <v>920</v>
      </c>
      <c r="C7" s="354">
        <v>0</v>
      </c>
      <c r="D7" s="355">
        <v>0</v>
      </c>
      <c r="E7" s="355">
        <v>0</v>
      </c>
      <c r="F7" s="251">
        <f t="shared" ref="F7:F57" si="0">C7+D7+E7</f>
        <v>0</v>
      </c>
    </row>
    <row r="8" spans="1:6">
      <c r="A8" s="704"/>
      <c r="B8" s="251" t="s">
        <v>921</v>
      </c>
      <c r="C8" s="354">
        <v>0</v>
      </c>
      <c r="D8" s="355">
        <v>0</v>
      </c>
      <c r="E8" s="355">
        <v>0</v>
      </c>
      <c r="F8" s="251">
        <f t="shared" si="0"/>
        <v>0</v>
      </c>
    </row>
    <row r="9" spans="1:6">
      <c r="A9" s="704"/>
      <c r="B9" s="251" t="s">
        <v>922</v>
      </c>
      <c r="C9" s="354">
        <v>198.77</v>
      </c>
      <c r="D9" s="355">
        <v>0</v>
      </c>
      <c r="E9" s="355">
        <v>0</v>
      </c>
      <c r="F9" s="251">
        <f t="shared" si="0"/>
        <v>198.77</v>
      </c>
    </row>
    <row r="10" spans="1:6">
      <c r="A10" s="704"/>
      <c r="B10" s="251" t="s">
        <v>923</v>
      </c>
      <c r="C10" s="354">
        <v>298.32</v>
      </c>
      <c r="D10" s="355">
        <v>0</v>
      </c>
      <c r="E10" s="355">
        <v>0</v>
      </c>
      <c r="F10" s="251">
        <f t="shared" si="0"/>
        <v>298.32</v>
      </c>
    </row>
    <row r="11" spans="1:6">
      <c r="A11" s="333"/>
      <c r="B11" s="356" t="s">
        <v>924</v>
      </c>
      <c r="C11" s="357">
        <f>SUM(C7:C10)</f>
        <v>497.09000000000003</v>
      </c>
      <c r="D11" s="358">
        <f>SUM(D7:D10)</f>
        <v>0</v>
      </c>
      <c r="E11" s="358">
        <f>SUM(E7:E10)</f>
        <v>0</v>
      </c>
      <c r="F11" s="356">
        <f t="shared" si="0"/>
        <v>497.09000000000003</v>
      </c>
    </row>
    <row r="12" spans="1:6">
      <c r="A12" s="704" t="s">
        <v>925</v>
      </c>
      <c r="B12" s="251" t="s">
        <v>920</v>
      </c>
      <c r="C12" s="354">
        <v>13.82</v>
      </c>
      <c r="D12" s="355">
        <v>0</v>
      </c>
      <c r="E12" s="355">
        <v>0</v>
      </c>
      <c r="F12" s="251">
        <f t="shared" si="0"/>
        <v>13.82</v>
      </c>
    </row>
    <row r="13" spans="1:6">
      <c r="A13" s="704"/>
      <c r="B13" s="251" t="s">
        <v>921</v>
      </c>
      <c r="C13" s="354">
        <v>14.35</v>
      </c>
      <c r="D13" s="355">
        <v>0</v>
      </c>
      <c r="E13" s="355">
        <v>0</v>
      </c>
      <c r="F13" s="251">
        <f t="shared" si="0"/>
        <v>14.35</v>
      </c>
    </row>
    <row r="14" spans="1:6">
      <c r="A14" s="704"/>
      <c r="B14" s="251" t="s">
        <v>922</v>
      </c>
      <c r="C14" s="359">
        <v>14.75</v>
      </c>
      <c r="D14" s="355">
        <v>0</v>
      </c>
      <c r="E14" s="355">
        <v>0</v>
      </c>
      <c r="F14" s="251">
        <f t="shared" si="0"/>
        <v>14.75</v>
      </c>
    </row>
    <row r="15" spans="1:6">
      <c r="A15" s="333"/>
      <c r="B15" s="251" t="s">
        <v>923</v>
      </c>
      <c r="C15" s="360">
        <v>14.83</v>
      </c>
      <c r="D15" s="355">
        <v>0</v>
      </c>
      <c r="E15" s="355">
        <v>0</v>
      </c>
      <c r="F15" s="251">
        <f t="shared" si="0"/>
        <v>14.83</v>
      </c>
    </row>
    <row r="16" spans="1:6">
      <c r="A16" s="333"/>
      <c r="B16" s="356" t="s">
        <v>924</v>
      </c>
      <c r="C16" s="357">
        <f>SUM(C12:C15)</f>
        <v>57.75</v>
      </c>
      <c r="D16" s="357">
        <f>SUM(D12:D15)</f>
        <v>0</v>
      </c>
      <c r="E16" s="357">
        <f>SUM(E12:E15)</f>
        <v>0</v>
      </c>
      <c r="F16" s="356">
        <f t="shared" si="0"/>
        <v>57.75</v>
      </c>
    </row>
    <row r="17" spans="1:6">
      <c r="A17" s="701" t="s">
        <v>926</v>
      </c>
      <c r="B17" s="251" t="s">
        <v>920</v>
      </c>
      <c r="C17" s="354">
        <v>15.39</v>
      </c>
      <c r="D17" s="355">
        <v>0</v>
      </c>
      <c r="E17" s="355">
        <v>0</v>
      </c>
      <c r="F17" s="251">
        <f t="shared" si="0"/>
        <v>15.39</v>
      </c>
    </row>
    <row r="18" spans="1:6">
      <c r="A18" s="701"/>
      <c r="B18" s="251" t="s">
        <v>921</v>
      </c>
      <c r="C18" s="354">
        <v>15.98</v>
      </c>
      <c r="D18" s="355">
        <v>0</v>
      </c>
      <c r="E18" s="355">
        <v>0</v>
      </c>
      <c r="F18" s="251">
        <f t="shared" si="0"/>
        <v>15.98</v>
      </c>
    </row>
    <row r="19" spans="1:6">
      <c r="A19" s="701"/>
      <c r="B19" s="251" t="s">
        <v>922</v>
      </c>
      <c r="C19" s="354">
        <v>417.16</v>
      </c>
      <c r="D19" s="355">
        <v>0</v>
      </c>
      <c r="E19" s="355">
        <v>0</v>
      </c>
      <c r="F19" s="251">
        <f t="shared" si="0"/>
        <v>417.16</v>
      </c>
    </row>
    <row r="20" spans="1:6">
      <c r="A20" s="701"/>
      <c r="B20" s="251" t="s">
        <v>923</v>
      </c>
      <c r="C20" s="359">
        <v>75.75</v>
      </c>
      <c r="D20" s="361">
        <v>417.16</v>
      </c>
      <c r="E20" s="362">
        <v>0</v>
      </c>
      <c r="F20" s="251">
        <f t="shared" si="0"/>
        <v>492.91</v>
      </c>
    </row>
    <row r="21" spans="1:6">
      <c r="A21" s="363"/>
      <c r="B21" s="356" t="s">
        <v>924</v>
      </c>
      <c r="C21" s="358">
        <f>SUM(C17:C20)</f>
        <v>524.28</v>
      </c>
      <c r="D21" s="358">
        <f>SUM(D17:D20)</f>
        <v>417.16</v>
      </c>
      <c r="E21" s="358">
        <f>SUM(E17:E20)</f>
        <v>0</v>
      </c>
      <c r="F21" s="356">
        <f t="shared" si="0"/>
        <v>941.44</v>
      </c>
    </row>
    <row r="22" spans="1:6">
      <c r="A22" s="701" t="s">
        <v>927</v>
      </c>
      <c r="B22" s="251" t="s">
        <v>920</v>
      </c>
      <c r="C22" s="359">
        <v>0</v>
      </c>
      <c r="D22" s="361">
        <v>0</v>
      </c>
      <c r="E22" s="362">
        <v>0</v>
      </c>
      <c r="F22" s="251">
        <f t="shared" si="0"/>
        <v>0</v>
      </c>
    </row>
    <row r="23" spans="1:6">
      <c r="A23" s="701"/>
      <c r="B23" s="251" t="s">
        <v>921</v>
      </c>
      <c r="C23" s="359">
        <v>560.97</v>
      </c>
      <c r="D23" s="361">
        <v>124.43</v>
      </c>
      <c r="E23" s="362">
        <v>0</v>
      </c>
      <c r="F23" s="251">
        <f t="shared" si="0"/>
        <v>685.40000000000009</v>
      </c>
    </row>
    <row r="24" spans="1:6">
      <c r="A24" s="701"/>
      <c r="B24" s="251" t="s">
        <v>922</v>
      </c>
      <c r="C24" s="359">
        <v>363.6</v>
      </c>
      <c r="D24" s="361">
        <v>286.16000000000003</v>
      </c>
      <c r="E24" s="362">
        <v>0</v>
      </c>
      <c r="F24" s="251">
        <f t="shared" si="0"/>
        <v>649.76</v>
      </c>
    </row>
    <row r="25" spans="1:6">
      <c r="A25" s="701"/>
      <c r="B25" s="251" t="s">
        <v>923</v>
      </c>
      <c r="C25" s="359">
        <v>804.68</v>
      </c>
      <c r="D25" s="361">
        <v>248.76</v>
      </c>
      <c r="E25" s="362">
        <v>0</v>
      </c>
      <c r="F25" s="251">
        <f t="shared" si="0"/>
        <v>1053.44</v>
      </c>
    </row>
    <row r="26" spans="1:6">
      <c r="A26" s="363"/>
      <c r="B26" s="356" t="s">
        <v>924</v>
      </c>
      <c r="C26" s="358">
        <f>SUM(C22:C25)</f>
        <v>1729.25</v>
      </c>
      <c r="D26" s="358">
        <f>SUM(D22:D25)</f>
        <v>659.35</v>
      </c>
      <c r="E26" s="358">
        <f>SUM(E22:E25)</f>
        <v>0</v>
      </c>
      <c r="F26" s="356">
        <f t="shared" si="0"/>
        <v>2388.6</v>
      </c>
    </row>
    <row r="27" spans="1:6">
      <c r="A27" s="701" t="s">
        <v>928</v>
      </c>
      <c r="B27" s="251" t="s">
        <v>920</v>
      </c>
      <c r="C27" s="359">
        <v>506.99</v>
      </c>
      <c r="D27" s="360">
        <v>64.739999999999995</v>
      </c>
      <c r="E27" s="362">
        <v>0</v>
      </c>
      <c r="F27" s="251">
        <f t="shared" si="0"/>
        <v>571.73</v>
      </c>
    </row>
    <row r="28" spans="1:6">
      <c r="A28" s="701"/>
      <c r="B28" s="251" t="s">
        <v>921</v>
      </c>
      <c r="C28" s="359">
        <v>400.15</v>
      </c>
      <c r="D28" s="360">
        <v>100.63</v>
      </c>
      <c r="E28" s="362">
        <v>0</v>
      </c>
      <c r="F28" s="251">
        <f t="shared" si="0"/>
        <v>500.78</v>
      </c>
    </row>
    <row r="29" spans="1:6">
      <c r="A29" s="701"/>
      <c r="B29" s="251" t="s">
        <v>922</v>
      </c>
      <c r="C29" s="359">
        <v>181.97</v>
      </c>
      <c r="D29" s="360">
        <v>75.099999999999994</v>
      </c>
      <c r="E29" s="362">
        <v>0</v>
      </c>
      <c r="F29" s="251">
        <f t="shared" si="0"/>
        <v>257.07</v>
      </c>
    </row>
    <row r="30" spans="1:6">
      <c r="A30" s="701"/>
      <c r="B30" s="251" t="s">
        <v>923</v>
      </c>
      <c r="C30" s="359">
        <v>844.83</v>
      </c>
      <c r="D30" s="360">
        <v>252.34</v>
      </c>
      <c r="E30" s="362">
        <v>0</v>
      </c>
      <c r="F30" s="251">
        <f t="shared" si="0"/>
        <v>1097.17</v>
      </c>
    </row>
    <row r="31" spans="1:6">
      <c r="A31" s="364"/>
      <c r="B31" s="356" t="s">
        <v>924</v>
      </c>
      <c r="C31" s="358">
        <f>SUM(C27:C30)</f>
        <v>1933.94</v>
      </c>
      <c r="D31" s="358">
        <f>SUM(D27:D30)</f>
        <v>492.81</v>
      </c>
      <c r="E31" s="358">
        <f>SUM(E27:E30)</f>
        <v>0</v>
      </c>
      <c r="F31" s="356">
        <f t="shared" si="0"/>
        <v>2426.75</v>
      </c>
    </row>
    <row r="32" spans="1:6">
      <c r="A32" s="701" t="s">
        <v>929</v>
      </c>
      <c r="B32" s="251" t="s">
        <v>920</v>
      </c>
      <c r="C32" s="359">
        <v>399.38</v>
      </c>
      <c r="D32" s="360">
        <v>36.83</v>
      </c>
      <c r="E32" s="362">
        <v>0</v>
      </c>
      <c r="F32" s="251">
        <f t="shared" si="0"/>
        <v>436.21</v>
      </c>
    </row>
    <row r="33" spans="1:6">
      <c r="A33" s="701"/>
      <c r="B33" s="251" t="s">
        <v>921</v>
      </c>
      <c r="C33" s="359">
        <v>320.41000000000003</v>
      </c>
      <c r="D33" s="360">
        <v>44.03</v>
      </c>
      <c r="E33" s="362">
        <v>0</v>
      </c>
      <c r="F33" s="251">
        <f t="shared" si="0"/>
        <v>364.44000000000005</v>
      </c>
    </row>
    <row r="34" spans="1:6">
      <c r="A34" s="701"/>
      <c r="B34" s="251" t="s">
        <v>922</v>
      </c>
      <c r="C34" s="359">
        <v>884.41</v>
      </c>
      <c r="D34" s="360">
        <v>45.75</v>
      </c>
      <c r="E34" s="362">
        <v>0</v>
      </c>
      <c r="F34" s="251">
        <f t="shared" si="0"/>
        <v>930.16</v>
      </c>
    </row>
    <row r="35" spans="1:6">
      <c r="A35" s="701"/>
      <c r="B35" s="251" t="s">
        <v>923</v>
      </c>
      <c r="C35" s="359">
        <v>1178.3900000000001</v>
      </c>
      <c r="D35" s="360">
        <v>538.44000000000005</v>
      </c>
      <c r="E35" s="362">
        <v>0</v>
      </c>
      <c r="F35" s="251">
        <f t="shared" si="0"/>
        <v>1716.8300000000002</v>
      </c>
    </row>
    <row r="36" spans="1:6">
      <c r="A36" s="364"/>
      <c r="B36" s="356" t="s">
        <v>924</v>
      </c>
      <c r="C36" s="358">
        <f>SUM(C32:C35)</f>
        <v>2782.59</v>
      </c>
      <c r="D36" s="358">
        <f>SUM(D32:D35)</f>
        <v>665.05000000000007</v>
      </c>
      <c r="E36" s="358">
        <f>SUM(E32:E35)</f>
        <v>0</v>
      </c>
      <c r="F36" s="356">
        <f t="shared" si="0"/>
        <v>3447.6400000000003</v>
      </c>
    </row>
    <row r="37" spans="1:6">
      <c r="A37" s="701" t="s">
        <v>930</v>
      </c>
      <c r="B37" s="251" t="s">
        <v>920</v>
      </c>
      <c r="C37" s="359">
        <v>0</v>
      </c>
      <c r="D37" s="360">
        <v>124.83</v>
      </c>
      <c r="E37" s="362">
        <v>0</v>
      </c>
      <c r="F37" s="251">
        <f t="shared" si="0"/>
        <v>124.83</v>
      </c>
    </row>
    <row r="38" spans="1:6">
      <c r="A38" s="701"/>
      <c r="B38" s="251" t="s">
        <v>921</v>
      </c>
      <c r="C38" s="359">
        <v>729.71</v>
      </c>
      <c r="D38" s="360">
        <v>166.22</v>
      </c>
      <c r="E38" s="362">
        <v>0</v>
      </c>
      <c r="F38" s="251">
        <f t="shared" si="0"/>
        <v>895.93000000000006</v>
      </c>
    </row>
    <row r="39" spans="1:6">
      <c r="A39" s="701"/>
      <c r="B39" s="251" t="s">
        <v>922</v>
      </c>
      <c r="C39" s="359">
        <v>623.32000000000005</v>
      </c>
      <c r="D39" s="360">
        <v>312.07</v>
      </c>
      <c r="E39" s="362">
        <v>0</v>
      </c>
      <c r="F39" s="251">
        <f t="shared" si="0"/>
        <v>935.3900000000001</v>
      </c>
    </row>
    <row r="40" spans="1:6">
      <c r="A40" s="701"/>
      <c r="B40" s="251" t="s">
        <v>923</v>
      </c>
      <c r="C40" s="359">
        <v>1096.03</v>
      </c>
      <c r="D40" s="360">
        <v>754.5</v>
      </c>
      <c r="E40" s="362">
        <v>0</v>
      </c>
      <c r="F40" s="251">
        <f t="shared" si="0"/>
        <v>1850.53</v>
      </c>
    </row>
    <row r="41" spans="1:6">
      <c r="A41" s="364"/>
      <c r="B41" s="356" t="s">
        <v>924</v>
      </c>
      <c r="C41" s="358">
        <f>SUM(C37:C40)</f>
        <v>2449.0600000000004</v>
      </c>
      <c r="D41" s="358">
        <f>SUM(D37:D40)</f>
        <v>1357.62</v>
      </c>
      <c r="E41" s="358">
        <f>SUM(E37:E40)</f>
        <v>0</v>
      </c>
      <c r="F41" s="356">
        <f t="shared" si="0"/>
        <v>3806.6800000000003</v>
      </c>
    </row>
    <row r="42" spans="1:6">
      <c r="A42" s="701" t="s">
        <v>931</v>
      </c>
      <c r="B42" s="251" t="s">
        <v>920</v>
      </c>
      <c r="C42" s="359">
        <v>271.67</v>
      </c>
      <c r="D42" s="360">
        <v>0</v>
      </c>
      <c r="E42" s="362">
        <v>0</v>
      </c>
      <c r="F42" s="251">
        <f t="shared" si="0"/>
        <v>271.67</v>
      </c>
    </row>
    <row r="43" spans="1:6">
      <c r="A43" s="701"/>
      <c r="B43" s="251" t="s">
        <v>921</v>
      </c>
      <c r="C43" s="359">
        <v>1196.23</v>
      </c>
      <c r="D43" s="360">
        <v>0</v>
      </c>
      <c r="E43" s="362">
        <v>0</v>
      </c>
      <c r="F43" s="251">
        <f t="shared" si="0"/>
        <v>1196.23</v>
      </c>
    </row>
    <row r="44" spans="1:6">
      <c r="A44" s="701"/>
      <c r="B44" s="251" t="s">
        <v>922</v>
      </c>
      <c r="C44" s="359">
        <v>636.02</v>
      </c>
      <c r="D44" s="360">
        <v>0</v>
      </c>
      <c r="E44" s="362">
        <v>0</v>
      </c>
      <c r="F44" s="251">
        <f t="shared" si="0"/>
        <v>636.02</v>
      </c>
    </row>
    <row r="45" spans="1:6">
      <c r="A45" s="701"/>
      <c r="B45" s="251" t="s">
        <v>923</v>
      </c>
      <c r="C45" s="359">
        <v>1853.36</v>
      </c>
      <c r="D45" s="360">
        <v>0</v>
      </c>
      <c r="E45" s="362">
        <v>0</v>
      </c>
      <c r="F45" s="251">
        <f t="shared" si="0"/>
        <v>1853.36</v>
      </c>
    </row>
    <row r="46" spans="1:6">
      <c r="A46" s="364"/>
      <c r="B46" s="356" t="s">
        <v>924</v>
      </c>
      <c r="C46" s="358">
        <f>SUM(C42:C45)</f>
        <v>3957.2799999999997</v>
      </c>
      <c r="D46" s="358">
        <f>SUM(D42:D45)</f>
        <v>0</v>
      </c>
      <c r="E46" s="358">
        <f>SUM(E42:E45)</f>
        <v>0</v>
      </c>
      <c r="F46" s="356">
        <f t="shared" si="0"/>
        <v>3957.2799999999997</v>
      </c>
    </row>
    <row r="47" spans="1:6">
      <c r="A47" s="701" t="s">
        <v>932</v>
      </c>
      <c r="B47" s="251" t="s">
        <v>920</v>
      </c>
      <c r="C47" s="359">
        <v>738.72</v>
      </c>
      <c r="D47" s="360">
        <v>0</v>
      </c>
      <c r="E47" s="362">
        <v>0</v>
      </c>
      <c r="F47" s="251">
        <f t="shared" si="0"/>
        <v>738.72</v>
      </c>
    </row>
    <row r="48" spans="1:6">
      <c r="A48" s="701"/>
      <c r="B48" s="251" t="s">
        <v>921</v>
      </c>
      <c r="C48" s="359">
        <v>649.13</v>
      </c>
      <c r="D48" s="360">
        <v>350.8</v>
      </c>
      <c r="E48" s="362">
        <v>0</v>
      </c>
      <c r="F48" s="251">
        <f t="shared" si="0"/>
        <v>999.93000000000006</v>
      </c>
    </row>
    <row r="49" spans="1:12">
      <c r="A49" s="701"/>
      <c r="B49" s="251" t="s">
        <v>922</v>
      </c>
      <c r="C49" s="359">
        <v>282.69</v>
      </c>
      <c r="D49" s="360">
        <v>66.069999999999993</v>
      </c>
      <c r="E49" s="362">
        <v>0</v>
      </c>
      <c r="F49" s="251">
        <f t="shared" si="0"/>
        <v>348.76</v>
      </c>
    </row>
    <row r="50" spans="1:12">
      <c r="A50" s="701"/>
      <c r="B50" s="251" t="s">
        <v>923</v>
      </c>
      <c r="C50" s="359">
        <v>157.27000000000001</v>
      </c>
      <c r="D50" s="360">
        <v>0</v>
      </c>
      <c r="E50" s="362">
        <v>940.79</v>
      </c>
      <c r="F50" s="251">
        <f t="shared" si="0"/>
        <v>1098.06</v>
      </c>
    </row>
    <row r="51" spans="1:12">
      <c r="A51" s="364"/>
      <c r="B51" s="356" t="s">
        <v>924</v>
      </c>
      <c r="C51" s="357">
        <f>SUM(C47:C50)</f>
        <v>1827.81</v>
      </c>
      <c r="D51" s="357">
        <f>SUM(D47:D50)</f>
        <v>416.87</v>
      </c>
      <c r="E51" s="357">
        <f>SUM(E47:E50)</f>
        <v>940.79</v>
      </c>
      <c r="F51" s="356">
        <f t="shared" si="0"/>
        <v>3185.47</v>
      </c>
    </row>
    <row r="52" spans="1:12">
      <c r="A52" s="705" t="s">
        <v>679</v>
      </c>
      <c r="B52" s="251" t="s">
        <v>920</v>
      </c>
      <c r="C52" s="359">
        <v>258.32</v>
      </c>
      <c r="D52" s="360">
        <v>0</v>
      </c>
      <c r="E52" s="251">
        <v>0</v>
      </c>
      <c r="F52" s="251">
        <f t="shared" si="0"/>
        <v>258.32</v>
      </c>
    </row>
    <row r="53" spans="1:12">
      <c r="A53" s="701"/>
      <c r="B53" s="251" t="s">
        <v>921</v>
      </c>
      <c r="C53" s="359">
        <v>0</v>
      </c>
      <c r="D53" s="360">
        <v>0</v>
      </c>
      <c r="E53" s="251">
        <v>928.06</v>
      </c>
      <c r="F53" s="251">
        <f t="shared" si="0"/>
        <v>928.06</v>
      </c>
    </row>
    <row r="54" spans="1:12">
      <c r="A54" s="701"/>
      <c r="B54" s="251" t="s">
        <v>922</v>
      </c>
      <c r="C54" s="359">
        <v>47.62</v>
      </c>
      <c r="D54" s="360">
        <v>0</v>
      </c>
      <c r="E54" s="251">
        <v>286.27</v>
      </c>
      <c r="F54" s="251">
        <f t="shared" si="0"/>
        <v>333.89</v>
      </c>
    </row>
    <row r="55" spans="1:12">
      <c r="A55" s="701"/>
      <c r="B55" s="251" t="s">
        <v>923</v>
      </c>
      <c r="C55" s="359">
        <v>0</v>
      </c>
      <c r="D55" s="360">
        <v>0</v>
      </c>
      <c r="E55" s="251">
        <v>1002.1</v>
      </c>
      <c r="F55" s="251">
        <f t="shared" si="0"/>
        <v>1002.1</v>
      </c>
    </row>
    <row r="56" spans="1:12">
      <c r="A56" s="364"/>
      <c r="B56" s="356" t="s">
        <v>924</v>
      </c>
      <c r="C56" s="357">
        <f>SUM(C52:C55)</f>
        <v>305.94</v>
      </c>
      <c r="D56" s="357">
        <f>SUM(D52:D55)</f>
        <v>0</v>
      </c>
      <c r="E56" s="357">
        <f>SUM(E52:E55)</f>
        <v>2216.4299999999998</v>
      </c>
      <c r="F56" s="356">
        <f t="shared" si="0"/>
        <v>2522.37</v>
      </c>
    </row>
    <row r="57" spans="1:12">
      <c r="A57" s="251"/>
      <c r="B57" s="356" t="s">
        <v>78</v>
      </c>
      <c r="C57" s="365">
        <f>C11+C16+C21+C26+C31+C36+C41+C46+C51+C56</f>
        <v>16064.989999999998</v>
      </c>
      <c r="D57" s="365">
        <f>D11+D16+D21+D26+D31+D36+D41+D46+D51+D56</f>
        <v>4008.8599999999997</v>
      </c>
      <c r="E57" s="365">
        <f>E11+E16+E21+E26+E31+E36+E41+E46+E51+E56</f>
        <v>3157.22</v>
      </c>
      <c r="F57" s="356">
        <f t="shared" si="0"/>
        <v>23231.07</v>
      </c>
    </row>
    <row r="58" spans="1:12">
      <c r="A58" s="251"/>
      <c r="B58" s="251"/>
      <c r="C58" s="359"/>
      <c r="D58" s="251"/>
      <c r="E58" s="251"/>
      <c r="F58" s="251"/>
    </row>
    <row r="59" spans="1:12" ht="14.25">
      <c r="A59" s="89" t="s">
        <v>425</v>
      </c>
      <c r="B59" s="88"/>
      <c r="C59" s="88"/>
      <c r="D59" s="88"/>
      <c r="E59" s="88"/>
      <c r="F59" s="88"/>
      <c r="G59" s="88"/>
      <c r="H59" s="88"/>
      <c r="I59" s="88"/>
      <c r="J59" s="88"/>
      <c r="K59" s="88"/>
      <c r="L59" s="88"/>
    </row>
    <row r="60" spans="1:12" ht="25.5" customHeight="1">
      <c r="A60" s="89">
        <v>1</v>
      </c>
      <c r="B60" s="706" t="s">
        <v>564</v>
      </c>
      <c r="C60" s="706"/>
      <c r="D60" s="706"/>
      <c r="E60" s="706"/>
      <c r="F60" s="706"/>
      <c r="G60" s="88"/>
      <c r="H60" s="88"/>
      <c r="I60" s="88"/>
      <c r="J60" s="88"/>
      <c r="K60" s="88"/>
      <c r="L60" s="88"/>
    </row>
    <row r="61" spans="1:12" ht="22.5" customHeight="1">
      <c r="A61" s="89">
        <f>A60+1</f>
        <v>2</v>
      </c>
      <c r="B61" s="88" t="s">
        <v>562</v>
      </c>
      <c r="C61" s="88"/>
      <c r="D61" s="88"/>
      <c r="E61" s="88"/>
      <c r="F61" s="88"/>
      <c r="G61" s="88"/>
      <c r="H61" s="88"/>
      <c r="I61" s="88"/>
      <c r="J61" s="88"/>
      <c r="K61" s="88"/>
      <c r="L61" s="88"/>
    </row>
    <row r="62" spans="1:12" ht="31.5" customHeight="1">
      <c r="A62" s="89">
        <f>A61+1</f>
        <v>3</v>
      </c>
      <c r="B62" s="706" t="s">
        <v>563</v>
      </c>
      <c r="C62" s="706"/>
      <c r="D62" s="706"/>
      <c r="E62" s="706"/>
      <c r="F62" s="706"/>
      <c r="G62" s="88"/>
      <c r="H62" s="88"/>
      <c r="I62" s="88"/>
      <c r="J62" s="88"/>
      <c r="K62" s="88"/>
      <c r="L62" s="88"/>
    </row>
    <row r="63" spans="1:12" ht="14.25">
      <c r="A63" s="88"/>
      <c r="B63" s="88"/>
      <c r="C63" s="88"/>
      <c r="D63" s="88"/>
      <c r="E63" s="88"/>
      <c r="F63" s="88"/>
      <c r="G63" s="88"/>
      <c r="H63" s="88"/>
      <c r="I63" s="88"/>
      <c r="J63" s="88"/>
      <c r="K63" s="88"/>
      <c r="L63" s="88"/>
    </row>
    <row r="64" spans="1:12">
      <c r="C64" s="366"/>
    </row>
    <row r="65" spans="3:3">
      <c r="C65" s="366"/>
    </row>
    <row r="66" spans="3:3">
      <c r="C66" s="366"/>
    </row>
    <row r="67" spans="3:3">
      <c r="C67" s="366"/>
    </row>
    <row r="68" spans="3:3">
      <c r="C68" s="366"/>
    </row>
    <row r="69" spans="3:3">
      <c r="C69" s="366"/>
    </row>
    <row r="70" spans="3:3">
      <c r="C70" s="366"/>
    </row>
    <row r="71" spans="3:3">
      <c r="C71" s="366"/>
    </row>
    <row r="72" spans="3:3">
      <c r="C72" s="366"/>
    </row>
    <row r="73" spans="3:3">
      <c r="C73" s="366"/>
    </row>
    <row r="74" spans="3:3">
      <c r="C74" s="366"/>
    </row>
    <row r="75" spans="3:3">
      <c r="C75" s="366"/>
    </row>
    <row r="76" spans="3:3">
      <c r="C76" s="366"/>
    </row>
    <row r="77" spans="3:3">
      <c r="C77" s="366"/>
    </row>
    <row r="78" spans="3:3">
      <c r="C78" s="366"/>
    </row>
    <row r="79" spans="3:3">
      <c r="C79" s="366"/>
    </row>
    <row r="80" spans="3:3">
      <c r="C80" s="366"/>
    </row>
    <row r="81" spans="3:3">
      <c r="C81" s="366"/>
    </row>
    <row r="82" spans="3:3">
      <c r="C82" s="366"/>
    </row>
    <row r="83" spans="3:3">
      <c r="C83" s="366"/>
    </row>
    <row r="84" spans="3:3">
      <c r="C84" s="366"/>
    </row>
    <row r="85" spans="3:3">
      <c r="C85" s="366"/>
    </row>
    <row r="86" spans="3:3">
      <c r="C86" s="366"/>
    </row>
    <row r="87" spans="3:3">
      <c r="C87" s="366"/>
    </row>
    <row r="88" spans="3:3">
      <c r="C88" s="366"/>
    </row>
    <row r="89" spans="3:3">
      <c r="C89" s="366"/>
    </row>
    <row r="90" spans="3:3">
      <c r="C90" s="366"/>
    </row>
    <row r="91" spans="3:3">
      <c r="C91" s="366"/>
    </row>
    <row r="92" spans="3:3">
      <c r="C92" s="366"/>
    </row>
    <row r="93" spans="3:3">
      <c r="C93" s="366"/>
    </row>
    <row r="94" spans="3:3">
      <c r="C94" s="366"/>
    </row>
    <row r="95" spans="3:3">
      <c r="C95" s="366"/>
    </row>
    <row r="96" spans="3:3">
      <c r="C96" s="366"/>
    </row>
    <row r="97" spans="3:3">
      <c r="C97" s="366"/>
    </row>
    <row r="98" spans="3:3">
      <c r="C98" s="366"/>
    </row>
    <row r="99" spans="3:3">
      <c r="C99" s="366"/>
    </row>
    <row r="100" spans="3:3">
      <c r="C100" s="366"/>
    </row>
    <row r="101" spans="3:3">
      <c r="C101" s="366"/>
    </row>
    <row r="102" spans="3:3">
      <c r="C102" s="366"/>
    </row>
    <row r="103" spans="3:3">
      <c r="C103" s="366"/>
    </row>
    <row r="104" spans="3:3">
      <c r="C104" s="366"/>
    </row>
    <row r="105" spans="3:3">
      <c r="C105" s="366"/>
    </row>
    <row r="106" spans="3:3">
      <c r="C106" s="366"/>
    </row>
    <row r="107" spans="3:3">
      <c r="C107" s="366"/>
    </row>
    <row r="108" spans="3:3">
      <c r="C108" s="366"/>
    </row>
    <row r="109" spans="3:3">
      <c r="C109" s="366"/>
    </row>
  </sheetData>
  <mergeCells count="17">
    <mergeCell ref="A42:A45"/>
    <mergeCell ref="A47:A50"/>
    <mergeCell ref="A52:A55"/>
    <mergeCell ref="B62:F62"/>
    <mergeCell ref="B60:F60"/>
    <mergeCell ref="A37:A40"/>
    <mergeCell ref="A1:F1"/>
    <mergeCell ref="A2:F2"/>
    <mergeCell ref="A3:F3"/>
    <mergeCell ref="A4:F4"/>
    <mergeCell ref="A5:F5"/>
    <mergeCell ref="A7:A10"/>
    <mergeCell ref="A12:A14"/>
    <mergeCell ref="A17:A20"/>
    <mergeCell ref="A22:A25"/>
    <mergeCell ref="A27:A30"/>
    <mergeCell ref="A32:A35"/>
  </mergeCells>
  <pageMargins left="0.45" right="0.2" top="0.25" bottom="0.25" header="0.3" footer="0.3"/>
  <pageSetup paperSize="9" scale="94" orientation="portrait" r:id="rId1"/>
</worksheet>
</file>

<file path=xl/worksheets/sheet29.xml><?xml version="1.0" encoding="utf-8"?>
<worksheet xmlns="http://schemas.openxmlformats.org/spreadsheetml/2006/main" xmlns:r="http://schemas.openxmlformats.org/officeDocument/2006/relationships">
  <sheetPr>
    <pageSetUpPr fitToPage="1"/>
  </sheetPr>
  <dimension ref="B2:T40"/>
  <sheetViews>
    <sheetView showGridLines="0" zoomScale="80" zoomScaleNormal="80" workbookViewId="0">
      <selection activeCell="L24" sqref="L24"/>
    </sheetView>
  </sheetViews>
  <sheetFormatPr defaultColWidth="9.28515625" defaultRowHeight="14.25"/>
  <cols>
    <col min="1" max="1" width="3.5703125" style="88" customWidth="1"/>
    <col min="2" max="2" width="10.5703125" style="88" customWidth="1"/>
    <col min="3" max="3" width="12.140625" style="88" customWidth="1"/>
    <col min="4" max="4" width="11.85546875" style="88" customWidth="1"/>
    <col min="5" max="5" width="12.85546875" style="88" customWidth="1"/>
    <col min="6" max="6" width="10.28515625" style="88" customWidth="1"/>
    <col min="7" max="7" width="9.5703125" style="88" customWidth="1"/>
    <col min="8" max="8" width="8.7109375" style="88" customWidth="1"/>
    <col min="9" max="9" width="9.5703125" style="88" customWidth="1"/>
    <col min="10" max="10" width="10.28515625" style="88" customWidth="1"/>
    <col min="11" max="11" width="10.85546875" style="88" customWidth="1"/>
    <col min="12" max="12" width="12" style="88" customWidth="1"/>
    <col min="13" max="13" width="13.5703125" style="88" customWidth="1"/>
    <col min="14" max="14" width="13" style="88" customWidth="1"/>
    <col min="15" max="15" width="11.5703125" style="88" customWidth="1"/>
    <col min="16" max="16" width="6.85546875" style="88" customWidth="1"/>
    <col min="17" max="17" width="7.5703125" style="88" customWidth="1"/>
    <col min="18" max="19" width="9.42578125" style="88" customWidth="1"/>
    <col min="20" max="20" width="11.140625" style="88" customWidth="1"/>
    <col min="21" max="16384" width="9.28515625" style="88"/>
  </cols>
  <sheetData>
    <row r="2" spans="2:20" ht="15">
      <c r="B2" s="553" t="s">
        <v>678</v>
      </c>
      <c r="C2" s="553"/>
      <c r="D2" s="553"/>
      <c r="E2" s="553"/>
      <c r="F2" s="553"/>
      <c r="G2" s="553"/>
      <c r="H2" s="553"/>
      <c r="I2" s="553"/>
      <c r="J2" s="553"/>
      <c r="K2" s="553"/>
      <c r="L2" s="553"/>
      <c r="M2" s="553"/>
      <c r="N2" s="553"/>
      <c r="O2" s="553"/>
      <c r="P2" s="553"/>
      <c r="Q2" s="553"/>
      <c r="R2" s="553"/>
      <c r="S2" s="553"/>
      <c r="T2" s="553"/>
    </row>
    <row r="3" spans="2:20" ht="15">
      <c r="B3" s="553" t="s">
        <v>967</v>
      </c>
      <c r="C3" s="553"/>
      <c r="D3" s="553"/>
      <c r="E3" s="553"/>
      <c r="F3" s="553"/>
      <c r="G3" s="553"/>
      <c r="H3" s="553"/>
      <c r="I3" s="553"/>
      <c r="J3" s="553"/>
      <c r="K3" s="553"/>
      <c r="L3" s="553"/>
      <c r="M3" s="553"/>
      <c r="N3" s="553"/>
      <c r="O3" s="553"/>
      <c r="P3" s="553"/>
      <c r="Q3" s="553"/>
      <c r="R3" s="553"/>
      <c r="S3" s="553"/>
      <c r="T3" s="553"/>
    </row>
    <row r="4" spans="2:20" ht="15">
      <c r="B4" s="707" t="s">
        <v>659</v>
      </c>
      <c r="C4" s="707"/>
      <c r="D4" s="707"/>
      <c r="E4" s="707"/>
      <c r="F4" s="707"/>
      <c r="G4" s="707"/>
      <c r="H4" s="707"/>
      <c r="I4" s="707"/>
      <c r="J4" s="707"/>
      <c r="K4" s="707"/>
      <c r="L4" s="707"/>
      <c r="M4" s="707"/>
      <c r="N4" s="707"/>
      <c r="O4" s="707"/>
      <c r="P4" s="707"/>
      <c r="Q4" s="707"/>
      <c r="R4" s="707"/>
      <c r="S4" s="707"/>
      <c r="T4" s="707"/>
    </row>
    <row r="6" spans="2:20" ht="15">
      <c r="B6" s="137" t="s">
        <v>559</v>
      </c>
    </row>
    <row r="7" spans="2:20" ht="15">
      <c r="B7" s="137" t="s">
        <v>560</v>
      </c>
    </row>
    <row r="8" spans="2:20" ht="15">
      <c r="B8" s="137" t="s">
        <v>561</v>
      </c>
    </row>
    <row r="9" spans="2:20" ht="15" thickBot="1"/>
    <row r="10" spans="2:20" ht="14.25" customHeight="1">
      <c r="B10" s="708" t="s">
        <v>379</v>
      </c>
      <c r="C10" s="718" t="s">
        <v>566</v>
      </c>
      <c r="D10" s="719"/>
      <c r="E10" s="719"/>
      <c r="F10" s="719"/>
      <c r="G10" s="719"/>
      <c r="H10" s="719"/>
      <c r="I10" s="719"/>
      <c r="J10" s="719"/>
      <c r="K10" s="720"/>
      <c r="L10" s="721" t="s">
        <v>558</v>
      </c>
      <c r="M10" s="722"/>
      <c r="N10" s="722"/>
      <c r="O10" s="722"/>
      <c r="P10" s="722"/>
      <c r="Q10" s="722"/>
      <c r="R10" s="722"/>
      <c r="S10" s="722"/>
      <c r="T10" s="723"/>
    </row>
    <row r="11" spans="2:20" ht="53.25" customHeight="1">
      <c r="B11" s="708"/>
      <c r="C11" s="340" t="s">
        <v>567</v>
      </c>
      <c r="D11" s="186" t="s">
        <v>568</v>
      </c>
      <c r="E11" s="186" t="s">
        <v>573</v>
      </c>
      <c r="F11" s="186" t="s">
        <v>569</v>
      </c>
      <c r="G11" s="186" t="s">
        <v>570</v>
      </c>
      <c r="H11" s="186" t="s">
        <v>571</v>
      </c>
      <c r="I11" s="186" t="s">
        <v>457</v>
      </c>
      <c r="J11" s="186" t="s">
        <v>458</v>
      </c>
      <c r="K11" s="140" t="s">
        <v>575</v>
      </c>
      <c r="L11" s="340" t="s">
        <v>567</v>
      </c>
      <c r="M11" s="186" t="s">
        <v>568</v>
      </c>
      <c r="N11" s="186" t="s">
        <v>573</v>
      </c>
      <c r="O11" s="186" t="s">
        <v>569</v>
      </c>
      <c r="P11" s="186" t="s">
        <v>570</v>
      </c>
      <c r="Q11" s="186" t="s">
        <v>571</v>
      </c>
      <c r="R11" s="186" t="s">
        <v>457</v>
      </c>
      <c r="S11" s="186" t="s">
        <v>458</v>
      </c>
      <c r="T11" s="140" t="s">
        <v>575</v>
      </c>
    </row>
    <row r="12" spans="2:20" ht="14.25" customHeight="1">
      <c r="B12" s="708"/>
      <c r="C12" s="139" t="s">
        <v>565</v>
      </c>
      <c r="D12" s="91" t="s">
        <v>493</v>
      </c>
      <c r="E12" s="91" t="s">
        <v>493</v>
      </c>
      <c r="F12" s="91" t="s">
        <v>40</v>
      </c>
      <c r="G12" s="91" t="s">
        <v>565</v>
      </c>
      <c r="H12" s="91" t="s">
        <v>565</v>
      </c>
      <c r="I12" s="91" t="s">
        <v>493</v>
      </c>
      <c r="J12" s="91" t="s">
        <v>493</v>
      </c>
      <c r="K12" s="141" t="s">
        <v>493</v>
      </c>
      <c r="L12" s="139" t="s">
        <v>565</v>
      </c>
      <c r="M12" s="91" t="s">
        <v>493</v>
      </c>
      <c r="N12" s="91" t="s">
        <v>493</v>
      </c>
      <c r="O12" s="91" t="s">
        <v>40</v>
      </c>
      <c r="P12" s="91" t="s">
        <v>565</v>
      </c>
      <c r="Q12" s="91" t="s">
        <v>565</v>
      </c>
      <c r="R12" s="91" t="s">
        <v>493</v>
      </c>
      <c r="S12" s="91" t="s">
        <v>493</v>
      </c>
      <c r="T12" s="141" t="s">
        <v>493</v>
      </c>
    </row>
    <row r="13" spans="2:20">
      <c r="B13" s="138"/>
      <c r="C13" s="142"/>
      <c r="D13" s="33"/>
      <c r="E13" s="33"/>
      <c r="F13" s="33"/>
      <c r="G13" s="33"/>
      <c r="H13" s="33"/>
      <c r="I13" s="33"/>
      <c r="J13" s="33"/>
      <c r="K13" s="143"/>
      <c r="L13" s="142"/>
      <c r="M13" s="33"/>
      <c r="N13" s="33"/>
      <c r="O13" s="33"/>
      <c r="P13" s="33"/>
      <c r="Q13" s="33"/>
      <c r="R13" s="33"/>
      <c r="S13" s="33"/>
      <c r="T13" s="143"/>
    </row>
    <row r="14" spans="2:20">
      <c r="B14" s="138"/>
      <c r="C14" s="142"/>
      <c r="D14" s="33"/>
      <c r="E14" s="33"/>
      <c r="F14" s="33"/>
      <c r="G14" s="33"/>
      <c r="H14" s="33"/>
      <c r="I14" s="33"/>
      <c r="J14" s="33"/>
      <c r="K14" s="143"/>
      <c r="L14" s="142"/>
      <c r="M14" s="33"/>
      <c r="N14" s="33"/>
      <c r="O14" s="33"/>
      <c r="P14" s="33"/>
      <c r="Q14" s="33"/>
      <c r="R14" s="33"/>
      <c r="S14" s="33"/>
      <c r="T14" s="143"/>
    </row>
    <row r="15" spans="2:20" ht="18">
      <c r="B15" s="138"/>
      <c r="C15" s="709" t="s">
        <v>934</v>
      </c>
      <c r="D15" s="710"/>
      <c r="E15" s="710"/>
      <c r="F15" s="710"/>
      <c r="G15" s="710"/>
      <c r="H15" s="710"/>
      <c r="I15" s="710"/>
      <c r="J15" s="710"/>
      <c r="K15" s="710"/>
      <c r="L15" s="710"/>
      <c r="M15" s="710"/>
      <c r="N15" s="710"/>
      <c r="O15" s="710"/>
      <c r="P15" s="710"/>
      <c r="Q15" s="710"/>
      <c r="R15" s="710"/>
      <c r="S15" s="710"/>
      <c r="T15" s="711"/>
    </row>
    <row r="16" spans="2:20">
      <c r="B16" s="138"/>
      <c r="C16" s="115"/>
      <c r="D16" s="33"/>
      <c r="E16" s="33"/>
      <c r="F16" s="33"/>
      <c r="G16" s="33"/>
      <c r="H16" s="33"/>
      <c r="I16" s="33"/>
      <c r="J16" s="33"/>
      <c r="K16" s="143"/>
      <c r="L16" s="142"/>
      <c r="M16" s="33"/>
      <c r="N16" s="33"/>
      <c r="O16" s="33"/>
      <c r="P16" s="33"/>
      <c r="Q16" s="33"/>
      <c r="R16" s="33"/>
      <c r="S16" s="33"/>
      <c r="T16" s="143"/>
    </row>
    <row r="17" spans="2:20">
      <c r="B17" s="138"/>
      <c r="C17" s="142"/>
      <c r="D17" s="33"/>
      <c r="E17" s="33"/>
      <c r="F17" s="33"/>
      <c r="G17" s="33"/>
      <c r="H17" s="33"/>
      <c r="I17" s="33"/>
      <c r="J17" s="33"/>
      <c r="K17" s="143"/>
      <c r="L17" s="142"/>
      <c r="M17" s="33"/>
      <c r="N17" s="33"/>
      <c r="O17" s="33"/>
      <c r="P17" s="33"/>
      <c r="Q17" s="33"/>
      <c r="R17" s="33"/>
      <c r="S17" s="33"/>
      <c r="T17" s="143"/>
    </row>
    <row r="18" spans="2:20">
      <c r="B18" s="138"/>
      <c r="C18" s="142"/>
      <c r="D18" s="33"/>
      <c r="E18" s="33"/>
      <c r="F18" s="33"/>
      <c r="G18" s="33"/>
      <c r="H18" s="33"/>
      <c r="I18" s="33"/>
      <c r="J18" s="33"/>
      <c r="K18" s="143"/>
      <c r="L18" s="142"/>
      <c r="M18" s="33"/>
      <c r="N18" s="33"/>
      <c r="O18" s="33"/>
      <c r="P18" s="33"/>
      <c r="Q18" s="33"/>
      <c r="R18" s="33"/>
      <c r="S18" s="33"/>
      <c r="T18" s="143"/>
    </row>
    <row r="19" spans="2:20">
      <c r="B19" s="138"/>
      <c r="C19" s="142"/>
      <c r="D19" s="33"/>
      <c r="E19" s="33"/>
      <c r="F19" s="33"/>
      <c r="G19" s="33"/>
      <c r="H19" s="33"/>
      <c r="I19" s="33"/>
      <c r="J19" s="33"/>
      <c r="K19" s="143"/>
      <c r="L19" s="142"/>
      <c r="M19" s="33"/>
      <c r="N19" s="33"/>
      <c r="O19" s="33"/>
      <c r="P19" s="33"/>
      <c r="Q19" s="33"/>
      <c r="R19" s="33"/>
      <c r="S19" s="33"/>
      <c r="T19" s="143"/>
    </row>
    <row r="20" spans="2:20">
      <c r="B20" s="138"/>
      <c r="C20" s="115"/>
      <c r="D20" s="33"/>
      <c r="E20" s="33"/>
      <c r="F20" s="33"/>
      <c r="G20" s="33"/>
      <c r="H20" s="33"/>
      <c r="I20" s="33"/>
      <c r="J20" s="33"/>
      <c r="K20" s="143"/>
      <c r="L20" s="142"/>
      <c r="M20" s="33"/>
      <c r="N20" s="33"/>
      <c r="O20" s="33"/>
      <c r="P20" s="33"/>
      <c r="Q20" s="33"/>
      <c r="R20" s="33"/>
      <c r="S20" s="33"/>
      <c r="T20" s="143"/>
    </row>
    <row r="21" spans="2:20">
      <c r="B21" s="138"/>
      <c r="C21" s="142"/>
      <c r="D21" s="33"/>
      <c r="E21" s="33"/>
      <c r="F21" s="33"/>
      <c r="G21" s="33"/>
      <c r="H21" s="33"/>
      <c r="I21" s="33"/>
      <c r="J21" s="33"/>
      <c r="K21" s="143"/>
      <c r="L21" s="142"/>
      <c r="M21" s="33"/>
      <c r="N21" s="33"/>
      <c r="O21" s="33"/>
      <c r="P21" s="33"/>
      <c r="Q21" s="33"/>
      <c r="R21" s="33"/>
      <c r="S21" s="33"/>
      <c r="T21" s="143"/>
    </row>
    <row r="22" spans="2:20">
      <c r="B22" s="138"/>
      <c r="C22" s="142"/>
      <c r="D22" s="33"/>
      <c r="E22" s="33"/>
      <c r="F22" s="33"/>
      <c r="G22" s="33"/>
      <c r="H22" s="33"/>
      <c r="I22" s="33"/>
      <c r="J22" s="33"/>
      <c r="K22" s="143"/>
      <c r="L22" s="142"/>
      <c r="M22" s="33"/>
      <c r="N22" s="33"/>
      <c r="O22" s="33"/>
      <c r="P22" s="33"/>
      <c r="Q22" s="33"/>
      <c r="R22" s="33"/>
      <c r="S22" s="33"/>
      <c r="T22" s="143"/>
    </row>
    <row r="23" spans="2:20">
      <c r="B23" s="138"/>
      <c r="C23" s="142"/>
      <c r="D23" s="33"/>
      <c r="E23" s="33"/>
      <c r="F23" s="33"/>
      <c r="G23" s="33"/>
      <c r="H23" s="33"/>
      <c r="I23" s="33"/>
      <c r="J23" s="33"/>
      <c r="K23" s="143"/>
      <c r="L23" s="142"/>
      <c r="M23" s="33"/>
      <c r="N23" s="33"/>
      <c r="O23" s="33"/>
      <c r="P23" s="33"/>
      <c r="Q23" s="33"/>
      <c r="R23" s="33"/>
      <c r="S23" s="33"/>
      <c r="T23" s="143"/>
    </row>
    <row r="24" spans="2:20">
      <c r="B24" s="138"/>
      <c r="C24" s="142"/>
      <c r="D24" s="33"/>
      <c r="E24" s="33"/>
      <c r="F24" s="33"/>
      <c r="G24" s="33"/>
      <c r="H24" s="33"/>
      <c r="I24" s="33"/>
      <c r="J24" s="33"/>
      <c r="K24" s="143"/>
      <c r="L24" s="142"/>
      <c r="M24" s="33"/>
      <c r="N24" s="33"/>
      <c r="O24" s="33"/>
      <c r="P24" s="33"/>
      <c r="Q24" s="33"/>
      <c r="R24" s="33"/>
      <c r="S24" s="33"/>
      <c r="T24" s="143"/>
    </row>
    <row r="25" spans="2:20">
      <c r="B25" s="138"/>
      <c r="C25" s="142"/>
      <c r="D25" s="33"/>
      <c r="E25" s="33"/>
      <c r="F25" s="33"/>
      <c r="G25" s="33"/>
      <c r="H25" s="33"/>
      <c r="I25" s="33"/>
      <c r="J25" s="33"/>
      <c r="K25" s="143"/>
      <c r="L25" s="142"/>
      <c r="M25" s="33"/>
      <c r="N25" s="33"/>
      <c r="O25" s="33"/>
      <c r="P25" s="33"/>
      <c r="Q25" s="33"/>
      <c r="R25" s="33"/>
      <c r="S25" s="33"/>
      <c r="T25" s="143"/>
    </row>
    <row r="26" spans="2:20">
      <c r="B26" s="138"/>
      <c r="C26" s="142"/>
      <c r="D26" s="33"/>
      <c r="E26" s="33"/>
      <c r="F26" s="33"/>
      <c r="G26" s="33"/>
      <c r="H26" s="33"/>
      <c r="I26" s="33"/>
      <c r="J26" s="33"/>
      <c r="K26" s="143"/>
      <c r="L26" s="142"/>
      <c r="M26" s="33"/>
      <c r="N26" s="33"/>
      <c r="O26" s="33"/>
      <c r="P26" s="33"/>
      <c r="Q26" s="33"/>
      <c r="R26" s="33"/>
      <c r="S26" s="33"/>
      <c r="T26" s="143"/>
    </row>
    <row r="27" spans="2:20">
      <c r="B27" s="138"/>
      <c r="C27" s="142"/>
      <c r="D27" s="33"/>
      <c r="E27" s="33"/>
      <c r="F27" s="33"/>
      <c r="G27" s="33"/>
      <c r="H27" s="33"/>
      <c r="I27" s="33"/>
      <c r="J27" s="33"/>
      <c r="K27" s="143"/>
      <c r="L27" s="142"/>
      <c r="M27" s="33"/>
      <c r="N27" s="33"/>
      <c r="O27" s="33"/>
      <c r="P27" s="33"/>
      <c r="Q27" s="33"/>
      <c r="R27" s="33"/>
      <c r="S27" s="33"/>
      <c r="T27" s="143"/>
    </row>
    <row r="28" spans="2:20">
      <c r="B28" s="138"/>
      <c r="C28" s="142"/>
      <c r="D28" s="33"/>
      <c r="E28" s="33"/>
      <c r="F28" s="33"/>
      <c r="G28" s="33"/>
      <c r="H28" s="33"/>
      <c r="I28" s="33"/>
      <c r="J28" s="33"/>
      <c r="K28" s="143"/>
      <c r="L28" s="142"/>
      <c r="M28" s="33"/>
      <c r="N28" s="33"/>
      <c r="O28" s="33"/>
      <c r="P28" s="33"/>
      <c r="Q28" s="33"/>
      <c r="R28" s="33"/>
      <c r="S28" s="33"/>
      <c r="T28" s="143"/>
    </row>
    <row r="29" spans="2:20">
      <c r="B29" s="138"/>
      <c r="C29" s="142"/>
      <c r="D29" s="33"/>
      <c r="E29" s="33"/>
      <c r="F29" s="33"/>
      <c r="G29" s="33"/>
      <c r="H29" s="33"/>
      <c r="I29" s="33"/>
      <c r="J29" s="33"/>
      <c r="K29" s="143"/>
      <c r="L29" s="142"/>
      <c r="M29" s="33"/>
      <c r="N29" s="33"/>
      <c r="O29" s="33"/>
      <c r="P29" s="33"/>
      <c r="Q29" s="33"/>
      <c r="R29" s="33"/>
      <c r="S29" s="33"/>
      <c r="T29" s="143"/>
    </row>
    <row r="30" spans="2:20" ht="15.75" thickBot="1">
      <c r="B30" s="138"/>
      <c r="C30" s="715" t="s">
        <v>576</v>
      </c>
      <c r="D30" s="716"/>
      <c r="E30" s="716"/>
      <c r="F30" s="716"/>
      <c r="G30" s="716"/>
      <c r="H30" s="717"/>
      <c r="I30" s="160">
        <f>SUM(I13:I29)</f>
        <v>0</v>
      </c>
      <c r="J30" s="160">
        <f t="shared" ref="J30" si="0">SUM(J13:J29)</f>
        <v>0</v>
      </c>
      <c r="K30" s="160">
        <f t="shared" ref="K30" si="1">SUM(K13:K29)</f>
        <v>0</v>
      </c>
      <c r="L30" s="715" t="s">
        <v>576</v>
      </c>
      <c r="M30" s="716"/>
      <c r="N30" s="716"/>
      <c r="O30" s="716"/>
      <c r="P30" s="716"/>
      <c r="Q30" s="717"/>
      <c r="R30" s="160">
        <f>SUM(R13:R29)</f>
        <v>0</v>
      </c>
      <c r="S30" s="160">
        <f t="shared" ref="S30:T30" si="2">SUM(S13:S29)</f>
        <v>0</v>
      </c>
      <c r="T30" s="160">
        <f t="shared" si="2"/>
        <v>0</v>
      </c>
    </row>
    <row r="32" spans="2:20" ht="15">
      <c r="B32" s="90" t="s">
        <v>572</v>
      </c>
    </row>
    <row r="33" spans="2:8" ht="15">
      <c r="B33" s="20" t="s">
        <v>360</v>
      </c>
      <c r="C33" s="20" t="s">
        <v>14</v>
      </c>
      <c r="D33" s="91" t="s">
        <v>936</v>
      </c>
      <c r="E33" s="91" t="s">
        <v>937</v>
      </c>
      <c r="F33" s="91" t="s">
        <v>936</v>
      </c>
      <c r="G33" s="91" t="s">
        <v>936</v>
      </c>
      <c r="H33" s="91" t="s">
        <v>938</v>
      </c>
    </row>
    <row r="34" spans="2:8" ht="42.75">
      <c r="B34" s="25">
        <v>1</v>
      </c>
      <c r="C34" s="69" t="s">
        <v>13</v>
      </c>
      <c r="D34" s="101"/>
      <c r="E34" s="101"/>
      <c r="F34" s="101"/>
      <c r="G34" s="101"/>
      <c r="H34" s="101"/>
    </row>
    <row r="35" spans="2:8">
      <c r="B35" s="25">
        <f>B34+1</f>
        <v>2</v>
      </c>
      <c r="C35" s="367" t="s">
        <v>574</v>
      </c>
      <c r="D35" s="101"/>
      <c r="E35" s="101"/>
      <c r="F35" s="101"/>
      <c r="G35" s="101"/>
      <c r="H35" s="101"/>
    </row>
    <row r="36" spans="2:8" ht="42.75">
      <c r="B36" s="25">
        <f t="shared" ref="B36:B39" si="3">B35+1</f>
        <v>3</v>
      </c>
      <c r="C36" s="69" t="s">
        <v>935</v>
      </c>
      <c r="D36" s="159">
        <f>D34-D35</f>
        <v>0</v>
      </c>
      <c r="E36" s="159">
        <f t="shared" ref="E36:H36" si="4">E34-E35</f>
        <v>0</v>
      </c>
      <c r="F36" s="159">
        <f t="shared" si="4"/>
        <v>0</v>
      </c>
      <c r="G36" s="159">
        <f t="shared" si="4"/>
        <v>0</v>
      </c>
      <c r="H36" s="159">
        <f t="shared" si="4"/>
        <v>0</v>
      </c>
    </row>
    <row r="37" spans="2:8" ht="15">
      <c r="B37" s="25">
        <f t="shared" si="3"/>
        <v>4</v>
      </c>
      <c r="C37" s="69" t="s">
        <v>457</v>
      </c>
      <c r="D37" s="712" t="s">
        <v>934</v>
      </c>
      <c r="E37" s="713"/>
      <c r="F37" s="713"/>
      <c r="G37" s="713"/>
      <c r="H37" s="714"/>
    </row>
    <row r="38" spans="2:8" ht="28.5">
      <c r="B38" s="25">
        <f t="shared" si="3"/>
        <v>5</v>
      </c>
      <c r="C38" s="69" t="s">
        <v>458</v>
      </c>
      <c r="D38" s="101"/>
      <c r="E38" s="101"/>
      <c r="F38" s="101"/>
      <c r="G38" s="101"/>
      <c r="H38" s="101"/>
    </row>
    <row r="39" spans="2:8" ht="57">
      <c r="B39" s="25">
        <f t="shared" si="3"/>
        <v>6</v>
      </c>
      <c r="C39" s="69" t="s">
        <v>459</v>
      </c>
      <c r="D39" s="159">
        <v>0</v>
      </c>
      <c r="E39" s="159">
        <f t="shared" ref="E39:H39" si="5">E37+E38</f>
        <v>0</v>
      </c>
      <c r="F39" s="159">
        <f t="shared" si="5"/>
        <v>0</v>
      </c>
      <c r="G39" s="159">
        <f t="shared" si="5"/>
        <v>0</v>
      </c>
      <c r="H39" s="159">
        <f t="shared" si="5"/>
        <v>0</v>
      </c>
    </row>
    <row r="40" spans="2:8">
      <c r="B40" s="88" t="s">
        <v>939</v>
      </c>
    </row>
  </sheetData>
  <mergeCells count="10">
    <mergeCell ref="D37:H37"/>
    <mergeCell ref="L30:Q30"/>
    <mergeCell ref="C10:K10"/>
    <mergeCell ref="L10:T10"/>
    <mergeCell ref="C30:H30"/>
    <mergeCell ref="B2:T2"/>
    <mergeCell ref="B3:T3"/>
    <mergeCell ref="B4:T4"/>
    <mergeCell ref="B10:B12"/>
    <mergeCell ref="C15:T15"/>
  </mergeCells>
  <pageMargins left="0.2" right="0.2" top="0.5" bottom="0.5" header="0.3" footer="0.3"/>
  <pageSetup paperSize="9" scale="73" fitToHeight="0" orientation="landscape" horizontalDpi="300" verticalDpi="300" r:id="rId1"/>
</worksheet>
</file>

<file path=xl/worksheets/sheet3.xml><?xml version="1.0" encoding="utf-8"?>
<worksheet xmlns="http://schemas.openxmlformats.org/spreadsheetml/2006/main" xmlns:r="http://schemas.openxmlformats.org/officeDocument/2006/relationships">
  <sheetPr>
    <tabColor rgb="FFFF0000"/>
    <pageSetUpPr fitToPage="1"/>
  </sheetPr>
  <dimension ref="B2:L30"/>
  <sheetViews>
    <sheetView showGridLines="0" topLeftCell="A7" workbookViewId="0">
      <selection activeCell="L24" sqref="L24"/>
    </sheetView>
  </sheetViews>
  <sheetFormatPr defaultColWidth="9.28515625" defaultRowHeight="14.25"/>
  <cols>
    <col min="1" max="1" width="3" style="18" customWidth="1"/>
    <col min="2" max="2" width="6.28515625" style="18" customWidth="1"/>
    <col min="3" max="3" width="35" style="18" customWidth="1"/>
    <col min="4" max="4" width="13.28515625" style="18" customWidth="1"/>
    <col min="5" max="5" width="12.42578125" style="18" customWidth="1"/>
    <col min="6" max="6" width="13.140625" style="18" customWidth="1"/>
    <col min="7" max="8" width="12.42578125" style="18" customWidth="1"/>
    <col min="9" max="9" width="14.28515625" style="18" customWidth="1"/>
    <col min="10" max="10" width="13.5703125" style="18" customWidth="1"/>
    <col min="11" max="11" width="13.28515625" style="18" customWidth="1"/>
    <col min="12" max="16384" width="9.28515625" style="18"/>
  </cols>
  <sheetData>
    <row r="2" spans="2:12">
      <c r="C2" s="5"/>
      <c r="D2" s="5"/>
      <c r="E2" s="5"/>
      <c r="F2" s="5"/>
      <c r="G2" s="5"/>
      <c r="H2" s="5"/>
      <c r="I2" s="5"/>
      <c r="J2" s="5"/>
      <c r="K2" s="5"/>
    </row>
    <row r="3" spans="2:12" ht="15">
      <c r="C3" s="5"/>
      <c r="D3" s="5"/>
      <c r="E3" s="5"/>
      <c r="F3" s="39" t="s">
        <v>678</v>
      </c>
      <c r="G3" s="5"/>
      <c r="H3" s="5"/>
      <c r="I3" s="5"/>
      <c r="J3" s="5"/>
      <c r="K3" s="5"/>
    </row>
    <row r="4" spans="2:12" s="4" customFormat="1" ht="15">
      <c r="C4" s="5"/>
      <c r="D4" s="5"/>
      <c r="E4" s="5"/>
      <c r="F4" s="39" t="s">
        <v>948</v>
      </c>
      <c r="G4" s="5"/>
      <c r="H4" s="5"/>
      <c r="I4" s="5"/>
      <c r="J4" s="5"/>
      <c r="K4" s="5"/>
    </row>
    <row r="5" spans="2:12" ht="15">
      <c r="F5" s="41" t="s">
        <v>583</v>
      </c>
    </row>
    <row r="6" spans="2:12" ht="15">
      <c r="J6" s="31" t="s">
        <v>4</v>
      </c>
    </row>
    <row r="7" spans="2:12" ht="30" customHeight="1">
      <c r="B7" s="373" t="s">
        <v>360</v>
      </c>
      <c r="C7" s="19" t="s">
        <v>14</v>
      </c>
      <c r="D7" s="375" t="s">
        <v>37</v>
      </c>
      <c r="E7" s="373" t="s">
        <v>1</v>
      </c>
      <c r="F7" s="20" t="s">
        <v>668</v>
      </c>
      <c r="G7" s="20" t="s">
        <v>669</v>
      </c>
      <c r="H7" s="20" t="s">
        <v>670</v>
      </c>
      <c r="I7" s="20" t="s">
        <v>671</v>
      </c>
      <c r="J7" s="20" t="s">
        <v>672</v>
      </c>
      <c r="K7" s="20" t="s">
        <v>11</v>
      </c>
    </row>
    <row r="8" spans="2:12" ht="15">
      <c r="B8" s="374"/>
      <c r="C8" s="25"/>
      <c r="D8" s="376"/>
      <c r="E8" s="374"/>
      <c r="F8" s="20"/>
      <c r="G8" s="20" t="s">
        <v>5</v>
      </c>
      <c r="H8" s="20" t="s">
        <v>8</v>
      </c>
      <c r="I8" s="20" t="s">
        <v>8</v>
      </c>
      <c r="J8" s="20" t="s">
        <v>8</v>
      </c>
      <c r="K8" s="26"/>
    </row>
    <row r="9" spans="2:12" ht="15">
      <c r="B9" s="27" t="s">
        <v>67</v>
      </c>
      <c r="C9" s="28" t="s">
        <v>416</v>
      </c>
      <c r="D9" s="25"/>
      <c r="E9" s="25"/>
      <c r="F9" s="20"/>
      <c r="G9" s="20"/>
      <c r="H9" s="20"/>
      <c r="I9" s="20"/>
      <c r="J9" s="20"/>
      <c r="K9" s="26"/>
    </row>
    <row r="10" spans="2:12" ht="15">
      <c r="B10" s="2">
        <v>1</v>
      </c>
      <c r="C10" s="3" t="s">
        <v>34</v>
      </c>
      <c r="D10" s="2" t="s">
        <v>362</v>
      </c>
      <c r="E10" s="22" t="s">
        <v>451</v>
      </c>
      <c r="F10" s="176">
        <f>'F2'!E14</f>
        <v>33.049999999999997</v>
      </c>
      <c r="G10" s="176">
        <f>'F2'!F14</f>
        <v>195.36</v>
      </c>
      <c r="H10" s="176">
        <f>'F2'!G14</f>
        <v>205.6</v>
      </c>
      <c r="I10" s="176">
        <f>'F2'!H14</f>
        <v>216.4</v>
      </c>
      <c r="J10" s="176">
        <f>'F2'!I14</f>
        <v>227.76</v>
      </c>
      <c r="K10" s="178"/>
    </row>
    <row r="11" spans="2:12" ht="15">
      <c r="B11" s="2">
        <f t="shared" ref="B11:B16" si="0">B10+1</f>
        <v>2</v>
      </c>
      <c r="C11" s="23" t="s">
        <v>105</v>
      </c>
      <c r="D11" s="2" t="s">
        <v>362</v>
      </c>
      <c r="E11" s="22" t="s">
        <v>19</v>
      </c>
      <c r="F11" s="179">
        <f>'F4'!K16</f>
        <v>54.36</v>
      </c>
      <c r="G11" s="176">
        <f>'F4'!K28</f>
        <v>346.31</v>
      </c>
      <c r="H11" s="176">
        <f>'F4'!K40</f>
        <v>365.85</v>
      </c>
      <c r="I11" s="176">
        <f>'F4'!K52</f>
        <v>363.32</v>
      </c>
      <c r="J11" s="176">
        <f>'F4'!K64</f>
        <v>362.49</v>
      </c>
      <c r="K11" s="178"/>
    </row>
    <row r="12" spans="2:12" ht="15">
      <c r="B12" s="2">
        <f t="shared" si="0"/>
        <v>3</v>
      </c>
      <c r="C12" s="3" t="s">
        <v>414</v>
      </c>
      <c r="D12" s="2" t="s">
        <v>362</v>
      </c>
      <c r="E12" s="21" t="s">
        <v>25</v>
      </c>
      <c r="F12" s="176">
        <f>'F5'!D22</f>
        <v>133.97</v>
      </c>
      <c r="G12" s="176">
        <f>'F5'!E22</f>
        <v>761</v>
      </c>
      <c r="H12" s="176">
        <f>'F5'!F22</f>
        <v>759.78</v>
      </c>
      <c r="I12" s="176">
        <f>'F5'!G22</f>
        <v>720.17</v>
      </c>
      <c r="J12" s="176">
        <f>'F5'!H22</f>
        <v>680.81</v>
      </c>
      <c r="K12" s="178"/>
    </row>
    <row r="13" spans="2:12" ht="15">
      <c r="B13" s="2">
        <f t="shared" si="0"/>
        <v>4</v>
      </c>
      <c r="C13" s="23" t="s">
        <v>35</v>
      </c>
      <c r="D13" s="2" t="s">
        <v>362</v>
      </c>
      <c r="E13" s="21" t="s">
        <v>26</v>
      </c>
      <c r="F13" s="176">
        <f ca="1">'F6'!D20</f>
        <v>13.71</v>
      </c>
      <c r="G13" s="176">
        <f ca="1">'F6'!E19</f>
        <v>77.38</v>
      </c>
      <c r="H13" s="176">
        <f ca="1">'F6'!F19</f>
        <v>80.08</v>
      </c>
      <c r="I13" s="176">
        <f ca="1">'F6'!G19</f>
        <v>80.62</v>
      </c>
      <c r="J13" s="176">
        <f ca="1">'F6'!H19</f>
        <v>81.22</v>
      </c>
      <c r="K13" s="178"/>
    </row>
    <row r="14" spans="2:12" ht="15">
      <c r="B14" s="2">
        <f t="shared" si="0"/>
        <v>5</v>
      </c>
      <c r="C14" s="3" t="s">
        <v>415</v>
      </c>
      <c r="D14" s="2" t="s">
        <v>362</v>
      </c>
      <c r="E14" s="21" t="s">
        <v>27</v>
      </c>
      <c r="F14" s="176">
        <f>'F7'!D22</f>
        <v>85.51</v>
      </c>
      <c r="G14" s="176">
        <f>'F7'!E22</f>
        <v>505.84</v>
      </c>
      <c r="H14" s="176">
        <f>'F7'!F21</f>
        <v>531.47</v>
      </c>
      <c r="I14" s="176">
        <f>'F7'!G21</f>
        <v>531.47</v>
      </c>
      <c r="J14" s="176">
        <f>'F7'!H21</f>
        <v>531.47</v>
      </c>
      <c r="K14" s="178"/>
    </row>
    <row r="15" spans="2:12" ht="15">
      <c r="B15" s="2">
        <f t="shared" si="0"/>
        <v>6</v>
      </c>
      <c r="C15" s="3" t="s">
        <v>36</v>
      </c>
      <c r="D15" s="2" t="s">
        <v>362</v>
      </c>
      <c r="E15" s="21" t="s">
        <v>28</v>
      </c>
      <c r="F15" s="176">
        <f>'F8'!E22</f>
        <v>0</v>
      </c>
      <c r="G15" s="176">
        <f>'F8'!J22</f>
        <v>0</v>
      </c>
      <c r="H15" s="176">
        <f>'F8'!K22</f>
        <v>0</v>
      </c>
      <c r="I15" s="176">
        <f>'F8'!L22</f>
        <v>0</v>
      </c>
      <c r="J15" s="176">
        <f>'F8'!M22</f>
        <v>0</v>
      </c>
      <c r="K15" s="178"/>
    </row>
    <row r="16" spans="2:12" ht="15">
      <c r="B16" s="19">
        <f t="shared" si="0"/>
        <v>7</v>
      </c>
      <c r="C16" s="24" t="s">
        <v>416</v>
      </c>
      <c r="D16" s="19" t="s">
        <v>362</v>
      </c>
      <c r="E16" s="21"/>
      <c r="F16" s="176">
        <f ca="1">SUM(F10:F15)</f>
        <v>320.60000000000002</v>
      </c>
      <c r="G16" s="176">
        <f t="shared" ref="G16:J16" ca="1" si="1">SUM(G10:G15)</f>
        <v>1885.89</v>
      </c>
      <c r="H16" s="176">
        <f t="shared" ca="1" si="1"/>
        <v>1942.78</v>
      </c>
      <c r="I16" s="176">
        <f t="shared" ca="1" si="1"/>
        <v>1911.9799999999998</v>
      </c>
      <c r="J16" s="176">
        <f t="shared" ca="1" si="1"/>
        <v>1883.75</v>
      </c>
      <c r="K16" s="178"/>
      <c r="L16" s="427"/>
    </row>
    <row r="17" spans="2:11" ht="15">
      <c r="B17" s="19" t="s">
        <v>72</v>
      </c>
      <c r="C17" s="19" t="s">
        <v>417</v>
      </c>
      <c r="D17" s="21"/>
      <c r="E17" s="21"/>
      <c r="F17" s="3"/>
      <c r="G17" s="3"/>
      <c r="H17" s="3"/>
      <c r="I17" s="3"/>
      <c r="J17" s="3"/>
      <c r="K17" s="3"/>
    </row>
    <row r="18" spans="2:11" ht="15">
      <c r="B18" s="2">
        <v>1</v>
      </c>
      <c r="C18" s="21" t="s">
        <v>418</v>
      </c>
      <c r="D18" s="2" t="s">
        <v>361</v>
      </c>
      <c r="E18" s="21" t="s">
        <v>103</v>
      </c>
      <c r="F18" s="368">
        <f>'F12'!E19</f>
        <v>4.0192114271903865</v>
      </c>
      <c r="G18" s="368">
        <f>'F12'!F19</f>
        <v>3.9450359524252421</v>
      </c>
      <c r="H18" s="368">
        <f>'F12'!G19</f>
        <v>4.0777326162795458</v>
      </c>
      <c r="I18" s="368">
        <f>'F12'!H19</f>
        <v>4.1592872686051363</v>
      </c>
      <c r="J18" s="368">
        <f>'F12'!I19</f>
        <v>4.2424730139772393</v>
      </c>
      <c r="K18" s="533"/>
    </row>
    <row r="19" spans="2:11" ht="15">
      <c r="B19" s="2">
        <f>B18+1</f>
        <v>2</v>
      </c>
      <c r="C19" s="21" t="s">
        <v>419</v>
      </c>
      <c r="D19" s="2" t="s">
        <v>43</v>
      </c>
      <c r="E19" s="21" t="s">
        <v>30</v>
      </c>
      <c r="F19" s="176">
        <f>'F10'!E30</f>
        <v>230.79000000000002</v>
      </c>
      <c r="G19" s="176">
        <f>'F10'!F30</f>
        <v>4659.2523999999994</v>
      </c>
      <c r="H19" s="176">
        <f>'F10'!G30</f>
        <v>5644.0680000000002</v>
      </c>
      <c r="I19" s="176">
        <f>'F10'!H30</f>
        <v>5664.9888000000001</v>
      </c>
      <c r="J19" s="176">
        <f>'F10'!I30</f>
        <v>5644.0680000000002</v>
      </c>
      <c r="K19" s="533"/>
    </row>
    <row r="20" spans="2:11" ht="15">
      <c r="B20" s="2">
        <f>B19+1</f>
        <v>3</v>
      </c>
      <c r="C20" s="21" t="s">
        <v>417</v>
      </c>
      <c r="D20" s="2" t="s">
        <v>362</v>
      </c>
      <c r="E20" s="21"/>
      <c r="F20" s="176">
        <f>ROUND(F18*F19/10,2)</f>
        <v>92.76</v>
      </c>
      <c r="G20" s="176">
        <f>ROUND(G18*G19/10,2)</f>
        <v>1838.09</v>
      </c>
      <c r="H20" s="176">
        <f>ROUND(H18*H19/10,2)</f>
        <v>2301.5</v>
      </c>
      <c r="I20" s="176">
        <f>ROUND(I18*I19/10,2)</f>
        <v>2356.23</v>
      </c>
      <c r="J20" s="176">
        <f>ROUND(J18*J19/10,2)</f>
        <v>2394.48</v>
      </c>
      <c r="K20" s="533"/>
    </row>
    <row r="21" spans="2:11" ht="15">
      <c r="B21" s="532" t="s">
        <v>73</v>
      </c>
      <c r="C21" s="532" t="s">
        <v>664</v>
      </c>
      <c r="D21" s="2" t="s">
        <v>362</v>
      </c>
      <c r="E21" s="3"/>
      <c r="F21" s="176">
        <f t="shared" ref="F21:J21" ca="1" si="2">F16+F20</f>
        <v>413.36</v>
      </c>
      <c r="G21" s="176">
        <f t="shared" ca="1" si="2"/>
        <v>3723.98</v>
      </c>
      <c r="H21" s="176">
        <f t="shared" ca="1" si="2"/>
        <v>4244.28</v>
      </c>
      <c r="I21" s="176">
        <f t="shared" ca="1" si="2"/>
        <v>4268.21</v>
      </c>
      <c r="J21" s="176">
        <f t="shared" ca="1" si="2"/>
        <v>4278.2299999999996</v>
      </c>
      <c r="K21" s="533"/>
    </row>
    <row r="22" spans="2:11" ht="15">
      <c r="B22" s="3"/>
      <c r="C22" s="3" t="s">
        <v>1108</v>
      </c>
      <c r="D22" s="3"/>
      <c r="E22" s="3"/>
      <c r="F22" s="533"/>
      <c r="G22" s="533"/>
      <c r="H22" s="533"/>
      <c r="I22" s="533"/>
      <c r="J22" s="533"/>
      <c r="K22" s="533"/>
    </row>
    <row r="23" spans="2:11">
      <c r="G23" s="380"/>
    </row>
    <row r="24" spans="2:11">
      <c r="F24" s="391"/>
      <c r="G24" s="390"/>
      <c r="H24" s="390"/>
      <c r="I24" s="390"/>
      <c r="J24" s="390"/>
      <c r="K24" s="390"/>
    </row>
    <row r="25" spans="2:11">
      <c r="F25" s="391"/>
      <c r="G25" s="390"/>
      <c r="H25" s="390"/>
      <c r="I25" s="390"/>
      <c r="J25" s="390"/>
      <c r="K25" s="390"/>
    </row>
    <row r="26" spans="2:11">
      <c r="F26" s="391"/>
      <c r="G26" s="390"/>
      <c r="H26" s="390"/>
      <c r="I26" s="390"/>
      <c r="J26" s="390"/>
      <c r="K26" s="390"/>
    </row>
    <row r="27" spans="2:11">
      <c r="F27" s="391"/>
      <c r="G27" s="390"/>
      <c r="H27" s="390"/>
      <c r="I27" s="390"/>
      <c r="J27" s="390"/>
      <c r="K27" s="390"/>
    </row>
    <row r="28" spans="2:11">
      <c r="F28" s="391"/>
      <c r="G28" s="390"/>
      <c r="H28" s="390"/>
      <c r="I28" s="390"/>
      <c r="J28" s="390"/>
      <c r="K28" s="390"/>
    </row>
    <row r="29" spans="2:11">
      <c r="F29" s="391"/>
      <c r="G29" s="390"/>
      <c r="H29" s="390"/>
      <c r="I29" s="390"/>
      <c r="J29" s="390"/>
      <c r="K29" s="390"/>
    </row>
    <row r="30" spans="2:11">
      <c r="G30" s="390"/>
      <c r="H30" s="390"/>
      <c r="I30" s="390"/>
      <c r="J30" s="390"/>
      <c r="K30" s="390"/>
    </row>
  </sheetData>
  <pageMargins left="0.23" right="0.23" top="0.92" bottom="1" header="0.5" footer="0.5"/>
  <pageSetup paperSize="9" orientation="landscape" r:id="rId1"/>
  <headerFooter alignWithMargins="0"/>
</worksheet>
</file>

<file path=xl/worksheets/sheet30.xml><?xml version="1.0" encoding="utf-8"?>
<worksheet xmlns="http://schemas.openxmlformats.org/spreadsheetml/2006/main" xmlns:r="http://schemas.openxmlformats.org/officeDocument/2006/relationships">
  <dimension ref="A1:AC34"/>
  <sheetViews>
    <sheetView workbookViewId="0">
      <selection activeCell="K14" sqref="K14"/>
    </sheetView>
  </sheetViews>
  <sheetFormatPr defaultRowHeight="12.75"/>
  <cols>
    <col min="1" max="1" width="6.5703125" customWidth="1"/>
    <col min="2" max="2" width="27.42578125" customWidth="1"/>
    <col min="3" max="3" width="11.5703125" customWidth="1"/>
    <col min="4" max="4" width="12.85546875" customWidth="1"/>
    <col min="5" max="5" width="10.5703125" customWidth="1"/>
    <col min="6" max="6" width="12.140625" customWidth="1"/>
    <col min="7" max="7" width="11.140625" customWidth="1"/>
    <col min="8" max="8" width="12" customWidth="1"/>
    <col min="9" max="10" width="11.140625" customWidth="1"/>
    <col min="11" max="11" width="8.140625" customWidth="1"/>
    <col min="12" max="12" width="10.85546875" customWidth="1"/>
    <col min="13" max="13" width="8.140625" customWidth="1"/>
    <col min="14" max="14" width="9.42578125" customWidth="1"/>
    <col min="15" max="15" width="8.140625" customWidth="1"/>
    <col min="16" max="16" width="10.5703125" customWidth="1"/>
    <col min="17" max="20" width="11.28515625" customWidth="1"/>
  </cols>
  <sheetData>
    <row r="1" spans="1:20" ht="15">
      <c r="B1" s="192" t="s">
        <v>705</v>
      </c>
      <c r="E1" s="193"/>
    </row>
    <row r="2" spans="1:20" ht="15">
      <c r="C2" s="726" t="s">
        <v>679</v>
      </c>
      <c r="D2" s="726"/>
      <c r="E2" s="726"/>
      <c r="F2" s="726" t="s">
        <v>680</v>
      </c>
      <c r="G2" s="726"/>
      <c r="H2" s="726"/>
      <c r="I2" s="726" t="s">
        <v>681</v>
      </c>
      <c r="J2" s="726"/>
      <c r="K2" s="726"/>
      <c r="L2" s="726" t="s">
        <v>682</v>
      </c>
      <c r="M2" s="726"/>
      <c r="N2" s="726"/>
      <c r="O2" s="726" t="s">
        <v>683</v>
      </c>
      <c r="P2" s="726"/>
      <c r="Q2" s="726"/>
    </row>
    <row r="3" spans="1:20" ht="30">
      <c r="A3" s="194" t="s">
        <v>684</v>
      </c>
      <c r="B3" s="195" t="s">
        <v>685</v>
      </c>
      <c r="C3" s="195" t="s">
        <v>686</v>
      </c>
      <c r="D3" s="195" t="s">
        <v>687</v>
      </c>
      <c r="E3" s="195" t="s">
        <v>78</v>
      </c>
      <c r="F3" s="195" t="s">
        <v>686</v>
      </c>
      <c r="G3" s="195" t="s">
        <v>687</v>
      </c>
      <c r="H3" s="195" t="s">
        <v>78</v>
      </c>
      <c r="I3" s="195" t="s">
        <v>686</v>
      </c>
      <c r="J3" s="195" t="s">
        <v>687</v>
      </c>
      <c r="K3" s="195" t="s">
        <v>78</v>
      </c>
      <c r="L3" s="195" t="s">
        <v>686</v>
      </c>
      <c r="M3" s="195" t="s">
        <v>687</v>
      </c>
      <c r="N3" s="195" t="s">
        <v>78</v>
      </c>
      <c r="O3" s="195" t="s">
        <v>686</v>
      </c>
      <c r="P3" s="195" t="s">
        <v>687</v>
      </c>
      <c r="Q3" s="195" t="s">
        <v>78</v>
      </c>
    </row>
    <row r="4" spans="1:20" ht="15">
      <c r="A4" s="196">
        <v>1</v>
      </c>
      <c r="B4" s="197" t="s">
        <v>706</v>
      </c>
      <c r="C4" s="198">
        <f>F30</f>
        <v>3.9827998176917059</v>
      </c>
      <c r="D4" s="198">
        <f>F31</f>
        <v>3.641160949868074E-2</v>
      </c>
      <c r="E4" s="199">
        <f>C4+D4</f>
        <v>4.0192114271903865</v>
      </c>
      <c r="F4" s="199">
        <f>G30</f>
        <v>3.9102390736208132</v>
      </c>
      <c r="G4" s="199">
        <f>G31</f>
        <v>3.4796878804429075E-2</v>
      </c>
      <c r="H4" s="199">
        <f>F4+G4</f>
        <v>3.9450359524252425</v>
      </c>
      <c r="I4" s="199">
        <f>H30</f>
        <v>4.0417652970062399</v>
      </c>
      <c r="J4" s="199">
        <f>H31</f>
        <v>3.5967319273305327E-2</v>
      </c>
      <c r="K4" s="199">
        <f>I4+J4</f>
        <v>4.0777326162795449</v>
      </c>
      <c r="L4" s="199">
        <f>I30</f>
        <v>4.1226006029463651</v>
      </c>
      <c r="M4" s="199">
        <f>I31</f>
        <v>3.6686665658771427E-2</v>
      </c>
      <c r="N4" s="199">
        <f>L4+M4</f>
        <v>4.1592872686051363</v>
      </c>
      <c r="O4" s="199">
        <f>J30</f>
        <v>4.2050526150052923</v>
      </c>
      <c r="P4" s="199">
        <f>J31</f>
        <v>3.7420398971946857E-2</v>
      </c>
      <c r="Q4" s="199">
        <f>O4+P4</f>
        <v>4.2424730139772393</v>
      </c>
    </row>
    <row r="7" spans="1:20" ht="15">
      <c r="B7" s="724" t="s">
        <v>685</v>
      </c>
      <c r="C7" s="725" t="s">
        <v>823</v>
      </c>
      <c r="D7" s="725"/>
      <c r="E7" s="725" t="s">
        <v>81</v>
      </c>
      <c r="F7" s="725"/>
      <c r="G7" s="725" t="s">
        <v>868</v>
      </c>
      <c r="H7" s="725"/>
      <c r="I7" s="725" t="s">
        <v>689</v>
      </c>
      <c r="J7" s="725"/>
      <c r="K7" s="727" t="s">
        <v>668</v>
      </c>
      <c r="L7" s="727"/>
      <c r="M7" s="727" t="s">
        <v>669</v>
      </c>
      <c r="N7" s="727"/>
      <c r="O7" s="727" t="s">
        <v>670</v>
      </c>
      <c r="P7" s="727"/>
      <c r="Q7" s="727" t="s">
        <v>671</v>
      </c>
      <c r="R7" s="727"/>
      <c r="S7" s="727" t="s">
        <v>671</v>
      </c>
      <c r="T7" s="727"/>
    </row>
    <row r="8" spans="1:20" ht="60">
      <c r="B8" s="724"/>
      <c r="C8" s="200" t="s">
        <v>690</v>
      </c>
      <c r="D8" s="200" t="s">
        <v>691</v>
      </c>
      <c r="E8" s="200" t="s">
        <v>690</v>
      </c>
      <c r="F8" s="200" t="s">
        <v>691</v>
      </c>
      <c r="G8" s="200" t="s">
        <v>690</v>
      </c>
      <c r="H8" s="200" t="s">
        <v>691</v>
      </c>
      <c r="I8" s="200" t="s">
        <v>690</v>
      </c>
      <c r="J8" s="200" t="s">
        <v>691</v>
      </c>
      <c r="K8" s="201" t="s">
        <v>690</v>
      </c>
      <c r="L8" s="201" t="s">
        <v>691</v>
      </c>
      <c r="M8" s="201" t="s">
        <v>690</v>
      </c>
      <c r="N8" s="201" t="s">
        <v>691</v>
      </c>
      <c r="O8" s="201" t="s">
        <v>690</v>
      </c>
      <c r="P8" s="201" t="s">
        <v>691</v>
      </c>
      <c r="Q8" s="201" t="s">
        <v>690</v>
      </c>
      <c r="R8" s="201" t="s">
        <v>691</v>
      </c>
      <c r="S8" s="201" t="s">
        <v>690</v>
      </c>
      <c r="T8" s="201" t="s">
        <v>691</v>
      </c>
    </row>
    <row r="9" spans="1:20" ht="15">
      <c r="B9" s="724"/>
      <c r="C9" s="202" t="s">
        <v>692</v>
      </c>
      <c r="D9" s="202" t="s">
        <v>693</v>
      </c>
      <c r="E9" s="202" t="s">
        <v>692</v>
      </c>
      <c r="F9" s="202" t="s">
        <v>693</v>
      </c>
      <c r="G9" s="202" t="s">
        <v>692</v>
      </c>
      <c r="H9" s="202" t="s">
        <v>693</v>
      </c>
      <c r="I9" s="202" t="s">
        <v>692</v>
      </c>
      <c r="J9" s="202" t="s">
        <v>693</v>
      </c>
      <c r="K9" s="203" t="s">
        <v>692</v>
      </c>
      <c r="L9" s="203" t="s">
        <v>693</v>
      </c>
      <c r="M9" s="203" t="s">
        <v>692</v>
      </c>
      <c r="N9" s="203" t="s">
        <v>693</v>
      </c>
      <c r="O9" s="203" t="s">
        <v>692</v>
      </c>
      <c r="P9" s="203" t="s">
        <v>693</v>
      </c>
      <c r="Q9" s="203" t="s">
        <v>692</v>
      </c>
      <c r="R9" s="203" t="s">
        <v>693</v>
      </c>
      <c r="S9" s="203" t="s">
        <v>692</v>
      </c>
      <c r="T9" s="203" t="s">
        <v>693</v>
      </c>
    </row>
    <row r="10" spans="1:20" ht="15.75">
      <c r="B10" s="204" t="s">
        <v>706</v>
      </c>
      <c r="C10" s="205">
        <v>5827.77</v>
      </c>
      <c r="D10" s="205">
        <v>65881.56</v>
      </c>
      <c r="E10" s="205">
        <v>5884.75</v>
      </c>
      <c r="F10" s="205">
        <v>68284.320000000007</v>
      </c>
      <c r="G10" s="387">
        <v>6104.67</v>
      </c>
      <c r="H10" s="387">
        <v>65954.69</v>
      </c>
      <c r="I10" s="206">
        <f>(C10*D15+E10*F15+G10*H15)/(D15+F15+H15)</f>
        <v>5912.7440922368569</v>
      </c>
      <c r="J10" s="206">
        <f>(D10*N15+F10*P15+H10*R15)/(N15+P15+R15)</f>
        <v>65940.085334393094</v>
      </c>
      <c r="K10" s="206">
        <f t="shared" ref="K10:L10" si="0">I10</f>
        <v>5912.7440922368569</v>
      </c>
      <c r="L10" s="206">
        <f t="shared" si="0"/>
        <v>65940.085334393094</v>
      </c>
      <c r="M10" s="207">
        <f>I10</f>
        <v>5912.7440922368569</v>
      </c>
      <c r="N10" s="207">
        <f>J10</f>
        <v>65940.085334393094</v>
      </c>
      <c r="O10" s="207">
        <f t="shared" ref="O10:T10" si="1">M10*1.02</f>
        <v>6030.9989740815945</v>
      </c>
      <c r="P10" s="207">
        <f t="shared" si="1"/>
        <v>67258.887041080961</v>
      </c>
      <c r="Q10" s="207">
        <f t="shared" si="1"/>
        <v>6151.6189535632266</v>
      </c>
      <c r="R10" s="207">
        <f t="shared" si="1"/>
        <v>68604.064781902576</v>
      </c>
      <c r="S10" s="207">
        <f t="shared" si="1"/>
        <v>6274.6513326344912</v>
      </c>
      <c r="T10" s="207">
        <f t="shared" si="1"/>
        <v>69976.14607754063</v>
      </c>
    </row>
    <row r="12" spans="1:20" ht="15">
      <c r="B12" s="724" t="s">
        <v>685</v>
      </c>
      <c r="C12" s="725" t="s">
        <v>823</v>
      </c>
      <c r="D12" s="725"/>
      <c r="E12" s="725" t="s">
        <v>81</v>
      </c>
      <c r="F12" s="725"/>
      <c r="G12" s="725" t="s">
        <v>868</v>
      </c>
      <c r="H12" s="725"/>
      <c r="I12" s="725" t="s">
        <v>689</v>
      </c>
      <c r="J12" s="725"/>
      <c r="L12" s="724" t="s">
        <v>685</v>
      </c>
      <c r="M12" s="725" t="s">
        <v>823</v>
      </c>
      <c r="N12" s="725"/>
      <c r="O12" s="725" t="s">
        <v>81</v>
      </c>
      <c r="P12" s="725"/>
      <c r="Q12" s="725" t="s">
        <v>868</v>
      </c>
      <c r="R12" s="725"/>
      <c r="S12" s="725" t="s">
        <v>689</v>
      </c>
      <c r="T12" s="725"/>
    </row>
    <row r="13" spans="1:20" ht="60">
      <c r="B13" s="724"/>
      <c r="C13" s="200" t="s">
        <v>694</v>
      </c>
      <c r="D13" s="200" t="s">
        <v>695</v>
      </c>
      <c r="E13" s="200" t="s">
        <v>694</v>
      </c>
      <c r="F13" s="200" t="s">
        <v>695</v>
      </c>
      <c r="G13" s="200" t="s">
        <v>694</v>
      </c>
      <c r="H13" s="200" t="s">
        <v>695</v>
      </c>
      <c r="I13" s="200" t="s">
        <v>694</v>
      </c>
      <c r="J13" s="200"/>
      <c r="L13" s="724"/>
      <c r="M13" s="200"/>
      <c r="N13" s="200" t="s">
        <v>696</v>
      </c>
      <c r="O13" s="200"/>
      <c r="P13" s="200" t="s">
        <v>696</v>
      </c>
      <c r="Q13" s="200"/>
      <c r="R13" s="200" t="s">
        <v>696</v>
      </c>
      <c r="S13" s="200"/>
      <c r="T13" s="200"/>
    </row>
    <row r="14" spans="1:20" ht="15">
      <c r="B14" s="724"/>
      <c r="C14" s="202" t="s">
        <v>697</v>
      </c>
      <c r="D14" s="202"/>
      <c r="E14" s="202" t="s">
        <v>697</v>
      </c>
      <c r="F14" s="202"/>
      <c r="G14" s="202" t="s">
        <v>697</v>
      </c>
      <c r="H14" s="202"/>
      <c r="I14" s="202" t="s">
        <v>697</v>
      </c>
      <c r="J14" s="202"/>
      <c r="L14" s="724"/>
      <c r="M14" s="202"/>
      <c r="N14" s="202" t="s">
        <v>698</v>
      </c>
      <c r="O14" s="202"/>
      <c r="P14" s="202" t="s">
        <v>698</v>
      </c>
      <c r="Q14" s="202"/>
      <c r="R14" s="202" t="s">
        <v>698</v>
      </c>
      <c r="S14" s="202"/>
      <c r="T14" s="202"/>
    </row>
    <row r="15" spans="1:20" ht="15.75">
      <c r="B15" s="204" t="s">
        <v>706</v>
      </c>
      <c r="C15" s="205">
        <v>3254</v>
      </c>
      <c r="D15" s="205">
        <v>265826.8</v>
      </c>
      <c r="E15" s="205">
        <v>3133</v>
      </c>
      <c r="F15" s="205">
        <v>173581.6</v>
      </c>
      <c r="G15" s="205">
        <v>3898</v>
      </c>
      <c r="H15" s="205">
        <v>143011.70000000001</v>
      </c>
      <c r="I15" s="208">
        <f>(C15*D15+E15*F15+G15*H15)/(D15+F15+H15)</f>
        <v>3376.0702396775105</v>
      </c>
      <c r="J15" s="206"/>
      <c r="L15" s="204" t="s">
        <v>688</v>
      </c>
      <c r="M15" s="205"/>
      <c r="N15" s="205">
        <v>928.65</v>
      </c>
      <c r="O15" s="205"/>
      <c r="P15" s="205">
        <v>15.94</v>
      </c>
      <c r="Q15" s="205"/>
      <c r="R15" s="205">
        <v>1162.81</v>
      </c>
      <c r="S15" s="208"/>
      <c r="T15" s="206"/>
    </row>
    <row r="17" spans="2:29" ht="15.75">
      <c r="B17" s="209" t="s">
        <v>706</v>
      </c>
    </row>
    <row r="18" spans="2:29" ht="15">
      <c r="B18" s="619" t="s">
        <v>14</v>
      </c>
      <c r="C18" s="619" t="s">
        <v>366</v>
      </c>
      <c r="D18" s="619" t="s">
        <v>37</v>
      </c>
      <c r="E18" s="728"/>
      <c r="F18" s="542" t="s">
        <v>410</v>
      </c>
      <c r="G18" s="542"/>
      <c r="H18" s="542"/>
      <c r="I18" s="542"/>
      <c r="J18" s="700"/>
    </row>
    <row r="19" spans="2:29" ht="15">
      <c r="B19" s="619"/>
      <c r="C19" s="619"/>
      <c r="D19" s="619"/>
      <c r="E19" s="728"/>
      <c r="F19" s="20" t="s">
        <v>699</v>
      </c>
      <c r="G19" s="20" t="s">
        <v>700</v>
      </c>
      <c r="H19" s="20" t="s">
        <v>701</v>
      </c>
      <c r="I19" s="20" t="s">
        <v>702</v>
      </c>
      <c r="J19" s="187" t="s">
        <v>703</v>
      </c>
    </row>
    <row r="20" spans="2:29" ht="15">
      <c r="B20" s="619"/>
      <c r="C20" s="619"/>
      <c r="D20" s="619"/>
      <c r="E20" s="20"/>
      <c r="F20" s="20" t="s">
        <v>8</v>
      </c>
      <c r="G20" s="20" t="s">
        <v>8</v>
      </c>
      <c r="H20" s="20" t="s">
        <v>8</v>
      </c>
      <c r="I20" s="20" t="s">
        <v>8</v>
      </c>
      <c r="J20" s="187" t="s">
        <v>8</v>
      </c>
    </row>
    <row r="21" spans="2:29" ht="14.25">
      <c r="B21" s="106" t="s">
        <v>114</v>
      </c>
      <c r="C21" s="98" t="s">
        <v>540</v>
      </c>
      <c r="D21" s="98" t="s">
        <v>40</v>
      </c>
      <c r="E21" s="210"/>
      <c r="F21" s="33">
        <v>5.25</v>
      </c>
      <c r="G21" s="33">
        <v>5.25</v>
      </c>
      <c r="H21" s="33">
        <v>6.5</v>
      </c>
      <c r="I21" s="33">
        <v>6.5</v>
      </c>
      <c r="J21" s="33">
        <v>6.5</v>
      </c>
      <c r="P21" s="211"/>
    </row>
    <row r="22" spans="2:29" ht="14.25">
      <c r="B22" s="212" t="s">
        <v>364</v>
      </c>
      <c r="C22" s="99" t="s">
        <v>550</v>
      </c>
      <c r="D22" s="99" t="s">
        <v>47</v>
      </c>
      <c r="E22" s="103"/>
      <c r="F22" s="33">
        <v>2120.37</v>
      </c>
      <c r="G22" s="33">
        <f>F22</f>
        <v>2120.37</v>
      </c>
      <c r="H22" s="33">
        <f>G22</f>
        <v>2120.37</v>
      </c>
      <c r="I22" s="33">
        <f>H22</f>
        <v>2120.37</v>
      </c>
      <c r="J22" s="33">
        <f>I22</f>
        <v>2120.37</v>
      </c>
      <c r="P22" s="211"/>
    </row>
    <row r="23" spans="2:29" ht="28.5">
      <c r="B23" s="106" t="s">
        <v>534</v>
      </c>
      <c r="C23" s="98" t="s">
        <v>541</v>
      </c>
      <c r="D23" s="98" t="s">
        <v>49</v>
      </c>
      <c r="E23" s="213"/>
      <c r="F23" s="33">
        <v>0.5</v>
      </c>
      <c r="G23" s="33">
        <v>0.5</v>
      </c>
      <c r="H23" s="33">
        <v>0.5</v>
      </c>
      <c r="I23" s="33">
        <v>0.5</v>
      </c>
      <c r="J23" s="33">
        <v>0.5</v>
      </c>
      <c r="P23" s="211"/>
    </row>
    <row r="24" spans="2:29" ht="28.5">
      <c r="B24" s="106" t="s">
        <v>535</v>
      </c>
      <c r="C24" s="98" t="s">
        <v>542</v>
      </c>
      <c r="D24" s="98" t="s">
        <v>543</v>
      </c>
      <c r="E24" s="33"/>
      <c r="F24" s="33">
        <v>9819</v>
      </c>
      <c r="G24" s="33">
        <v>9819</v>
      </c>
      <c r="H24" s="33">
        <v>9819</v>
      </c>
      <c r="I24" s="33">
        <v>9819</v>
      </c>
      <c r="J24" s="33">
        <v>9819</v>
      </c>
      <c r="P24" s="211"/>
    </row>
    <row r="25" spans="2:29" ht="28.5">
      <c r="B25" s="106" t="s">
        <v>536</v>
      </c>
      <c r="C25" s="98" t="s">
        <v>544</v>
      </c>
      <c r="D25" s="98" t="s">
        <v>545</v>
      </c>
      <c r="E25" s="101"/>
      <c r="F25" s="33">
        <v>6.9000000000000006E-2</v>
      </c>
      <c r="G25" s="101">
        <f>J10/1000000</f>
        <v>6.5940085334393092E-2</v>
      </c>
      <c r="H25" s="101">
        <f t="shared" ref="H25:J25" si="2">G25*1.02</f>
        <v>6.7258887041080961E-2</v>
      </c>
      <c r="I25" s="101">
        <f t="shared" si="2"/>
        <v>6.8604064781902577E-2</v>
      </c>
      <c r="J25" s="101">
        <f t="shared" si="2"/>
        <v>6.997614607754063E-2</v>
      </c>
      <c r="P25" s="211"/>
    </row>
    <row r="26" spans="2:29" ht="28.5">
      <c r="B26" s="106" t="s">
        <v>551</v>
      </c>
      <c r="C26" s="98" t="s">
        <v>546</v>
      </c>
      <c r="D26" s="98" t="s">
        <v>521</v>
      </c>
      <c r="E26" s="101"/>
      <c r="F26" s="33">
        <v>3743.55</v>
      </c>
      <c r="G26" s="101">
        <f>I15</f>
        <v>3376.0702396775105</v>
      </c>
      <c r="H26" s="101">
        <f t="shared" ref="H26:J26" si="3">G26</f>
        <v>3376.0702396775105</v>
      </c>
      <c r="I26" s="101">
        <f t="shared" si="3"/>
        <v>3376.0702396775105</v>
      </c>
      <c r="J26" s="101">
        <f t="shared" si="3"/>
        <v>3376.0702396775105</v>
      </c>
      <c r="P26" s="211"/>
    </row>
    <row r="27" spans="2:29" ht="14.25">
      <c r="B27" s="106" t="s">
        <v>537</v>
      </c>
      <c r="C27" s="98" t="s">
        <v>547</v>
      </c>
      <c r="D27" s="98" t="s">
        <v>548</v>
      </c>
      <c r="E27" s="101"/>
      <c r="F27" s="33">
        <v>6.6779999999999999</v>
      </c>
      <c r="G27" s="101">
        <f>I10/1000</f>
        <v>5.9127440922368573</v>
      </c>
      <c r="H27" s="101">
        <f>G27*1.02</f>
        <v>6.0309989740815944</v>
      </c>
      <c r="I27" s="101">
        <f>H27*1.02</f>
        <v>6.1516189535632266</v>
      </c>
      <c r="J27" s="101">
        <f>I27*1.02</f>
        <v>6.274651332634491</v>
      </c>
      <c r="L27" s="214"/>
      <c r="P27" s="211"/>
    </row>
    <row r="28" spans="2:29" ht="14.25">
      <c r="B28" s="106" t="s">
        <v>538</v>
      </c>
      <c r="C28" s="98"/>
      <c r="D28" s="98" t="s">
        <v>549</v>
      </c>
      <c r="E28" s="101"/>
      <c r="F28" s="101">
        <f t="shared" ref="F28:J28" si="4">(F22-(F23*F24/1000))/F26</f>
        <v>0.56509476299234673</v>
      </c>
      <c r="G28" s="101">
        <f t="shared" si="4"/>
        <v>0.6266044098069693</v>
      </c>
      <c r="H28" s="101">
        <f t="shared" si="4"/>
        <v>0.6266044098069693</v>
      </c>
      <c r="I28" s="101">
        <f t="shared" si="4"/>
        <v>0.6266044098069693</v>
      </c>
      <c r="J28" s="101">
        <f t="shared" si="4"/>
        <v>0.6266044098069693</v>
      </c>
      <c r="P28" s="211"/>
    </row>
    <row r="29" spans="2:29" ht="15">
      <c r="B29" s="215" t="s">
        <v>539</v>
      </c>
      <c r="C29" s="98"/>
      <c r="D29" s="97" t="s">
        <v>361</v>
      </c>
      <c r="E29" s="101"/>
      <c r="F29" s="216">
        <f t="shared" ref="F29:J29" si="5">IFERROR(((F22-F24*F23/1000)*F27/F26+F25*F23)*100/(100-F21),0)</f>
        <v>4.0192114271903865</v>
      </c>
      <c r="G29" s="216">
        <f t="shared" si="5"/>
        <v>3.9450359524252421</v>
      </c>
      <c r="H29" s="216">
        <f t="shared" si="5"/>
        <v>4.0777326162795458</v>
      </c>
      <c r="I29" s="216">
        <f t="shared" si="5"/>
        <v>4.1592872686051363</v>
      </c>
      <c r="J29" s="216">
        <f t="shared" si="5"/>
        <v>4.2424730139772393</v>
      </c>
    </row>
    <row r="30" spans="2:29" ht="15.75">
      <c r="B30" s="217" t="s">
        <v>704</v>
      </c>
      <c r="C30" s="217"/>
      <c r="D30" s="217"/>
      <c r="E30" s="218"/>
      <c r="F30" s="218">
        <f t="shared" ref="F30:J30" si="6">IFERROR(((F22-F23*F24/1000)*F27/F26)*100/(100-F21),0)</f>
        <v>3.9827998176917059</v>
      </c>
      <c r="G30" s="218">
        <f t="shared" si="6"/>
        <v>3.9102390736208132</v>
      </c>
      <c r="H30" s="218">
        <f t="shared" si="6"/>
        <v>4.0417652970062399</v>
      </c>
      <c r="I30" s="218">
        <f t="shared" si="6"/>
        <v>4.1226006029463651</v>
      </c>
      <c r="J30" s="218">
        <f t="shared" si="6"/>
        <v>4.2050526150052923</v>
      </c>
      <c r="K30" s="219"/>
      <c r="M30" s="219"/>
      <c r="N30" s="219"/>
      <c r="O30" s="220"/>
      <c r="P30" s="220"/>
      <c r="Q30" s="220"/>
      <c r="R30" s="220"/>
      <c r="S30" s="220"/>
      <c r="T30" s="220"/>
      <c r="U30" s="221"/>
      <c r="V30" s="221"/>
      <c r="W30" s="221"/>
      <c r="X30" s="221"/>
      <c r="Y30" s="221"/>
      <c r="Z30" s="221"/>
      <c r="AA30" s="221"/>
      <c r="AB30" s="221"/>
      <c r="AC30" s="221"/>
    </row>
    <row r="31" spans="2:29" ht="15.75">
      <c r="B31" s="217" t="s">
        <v>687</v>
      </c>
      <c r="C31" s="217"/>
      <c r="D31" s="217"/>
      <c r="E31" s="218"/>
      <c r="F31" s="218">
        <f t="shared" ref="F31:J31" si="7">IFERROR((F23*F25)*100/(100-F21),0)</f>
        <v>3.641160949868074E-2</v>
      </c>
      <c r="G31" s="218">
        <f t="shared" si="7"/>
        <v>3.4796878804429075E-2</v>
      </c>
      <c r="H31" s="218">
        <f t="shared" si="7"/>
        <v>3.5967319273305327E-2</v>
      </c>
      <c r="I31" s="218">
        <f t="shared" si="7"/>
        <v>3.6686665658771427E-2</v>
      </c>
      <c r="J31" s="218">
        <f t="shared" si="7"/>
        <v>3.7420398971946857E-2</v>
      </c>
      <c r="K31" s="219"/>
      <c r="L31" s="219"/>
      <c r="M31" s="219"/>
      <c r="N31" s="220"/>
      <c r="O31" s="220"/>
      <c r="P31" s="220"/>
      <c r="Q31" s="220"/>
      <c r="R31" s="220"/>
      <c r="S31" s="220"/>
      <c r="T31" s="220"/>
      <c r="U31" s="221"/>
      <c r="V31" s="221"/>
      <c r="W31" s="221"/>
      <c r="X31" s="221"/>
      <c r="Y31" s="221"/>
      <c r="Z31" s="221"/>
      <c r="AA31" s="221"/>
      <c r="AB31" s="221"/>
      <c r="AC31" s="221"/>
    </row>
    <row r="32" spans="2:29" ht="15.75">
      <c r="B32" s="217" t="s">
        <v>78</v>
      </c>
      <c r="C32" s="217"/>
      <c r="D32" s="217"/>
      <c r="E32" s="218"/>
      <c r="F32" s="218">
        <f t="shared" ref="F32:J32" si="8">F30+F31</f>
        <v>4.0192114271903865</v>
      </c>
      <c r="G32" s="218">
        <f t="shared" si="8"/>
        <v>3.9450359524252425</v>
      </c>
      <c r="H32" s="218">
        <f t="shared" si="8"/>
        <v>4.0777326162795449</v>
      </c>
      <c r="I32" s="218">
        <f t="shared" si="8"/>
        <v>4.1592872686051363</v>
      </c>
      <c r="J32" s="218">
        <f t="shared" si="8"/>
        <v>4.2424730139772393</v>
      </c>
      <c r="K32" s="219"/>
      <c r="L32" s="219"/>
      <c r="M32" s="219"/>
      <c r="N32" s="220"/>
      <c r="O32" s="220"/>
      <c r="P32" s="220"/>
      <c r="Q32" s="220"/>
      <c r="R32" s="220"/>
      <c r="S32" s="220"/>
      <c r="T32" s="220"/>
      <c r="U32" s="221"/>
      <c r="V32" s="221"/>
      <c r="W32" s="221"/>
      <c r="X32" s="221"/>
      <c r="Y32" s="221"/>
      <c r="Z32" s="221"/>
      <c r="AA32" s="221"/>
      <c r="AB32" s="221"/>
      <c r="AC32" s="221"/>
    </row>
    <row r="33" spans="2:9">
      <c r="B33">
        <v>4</v>
      </c>
    </row>
    <row r="34" spans="2:9">
      <c r="E34" s="219"/>
      <c r="F34" s="219"/>
      <c r="G34" s="219"/>
      <c r="H34" s="219"/>
      <c r="I34" s="219"/>
    </row>
  </sheetData>
  <mergeCells count="30">
    <mergeCell ref="L12:L14"/>
    <mergeCell ref="M12:N12"/>
    <mergeCell ref="O12:P12"/>
    <mergeCell ref="Q12:R12"/>
    <mergeCell ref="S12:T12"/>
    <mergeCell ref="B18:B20"/>
    <mergeCell ref="C18:C20"/>
    <mergeCell ref="D18:D20"/>
    <mergeCell ref="E18:E19"/>
    <mergeCell ref="F18:J18"/>
    <mergeCell ref="K7:L7"/>
    <mergeCell ref="M7:N7"/>
    <mergeCell ref="O7:P7"/>
    <mergeCell ref="Q7:R7"/>
    <mergeCell ref="S7:T7"/>
    <mergeCell ref="B12:B14"/>
    <mergeCell ref="C12:D12"/>
    <mergeCell ref="E12:F12"/>
    <mergeCell ref="G12:H12"/>
    <mergeCell ref="I12:J12"/>
    <mergeCell ref="C2:E2"/>
    <mergeCell ref="F2:H2"/>
    <mergeCell ref="I2:K2"/>
    <mergeCell ref="L2:N2"/>
    <mergeCell ref="O2:Q2"/>
    <mergeCell ref="B7:B9"/>
    <mergeCell ref="C7:D7"/>
    <mergeCell ref="E7:F7"/>
    <mergeCell ref="G7:H7"/>
    <mergeCell ref="I7:J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B1:M30"/>
  <sheetViews>
    <sheetView showGridLines="0" zoomScale="86" zoomScaleNormal="86" zoomScaleSheetLayoutView="80" workbookViewId="0">
      <selection activeCell="L24" sqref="L24"/>
    </sheetView>
  </sheetViews>
  <sheetFormatPr defaultColWidth="9.28515625" defaultRowHeight="14.25"/>
  <cols>
    <col min="1" max="1" width="6.42578125" style="5" customWidth="1"/>
    <col min="2" max="2" width="7.28515625" style="5" customWidth="1"/>
    <col min="3" max="3" width="32.28515625" style="5" customWidth="1"/>
    <col min="4" max="4" width="14.42578125" style="5" customWidth="1"/>
    <col min="5" max="7" width="14.7109375" style="5" customWidth="1"/>
    <col min="8" max="8" width="12.28515625" style="5" bestFit="1" customWidth="1"/>
    <col min="9" max="9" width="12.28515625" style="5" customWidth="1"/>
    <col min="10" max="10" width="14.140625" style="5" customWidth="1"/>
    <col min="11" max="11" width="17.7109375" style="5" customWidth="1"/>
    <col min="12" max="12" width="16.28515625" style="5" customWidth="1"/>
    <col min="13" max="13" width="15.140625" style="5" customWidth="1"/>
    <col min="14" max="16384" width="9.28515625" style="5"/>
  </cols>
  <sheetData>
    <row r="1" spans="2:13" ht="15">
      <c r="C1" s="42"/>
      <c r="D1" s="42"/>
      <c r="E1" s="42"/>
      <c r="F1" s="42"/>
      <c r="G1" s="42"/>
      <c r="I1" s="42"/>
      <c r="J1" s="42"/>
      <c r="K1" s="42"/>
    </row>
    <row r="2" spans="2:13" ht="15">
      <c r="C2" s="39"/>
      <c r="D2" s="39"/>
      <c r="E2" s="39"/>
      <c r="F2" s="39"/>
      <c r="G2" s="39"/>
      <c r="H2" s="39"/>
      <c r="I2" s="39"/>
      <c r="J2" s="39"/>
      <c r="K2" s="39"/>
    </row>
    <row r="3" spans="2:13" ht="15">
      <c r="C3" s="39"/>
      <c r="D3" s="39"/>
      <c r="E3" s="39" t="s">
        <v>678</v>
      </c>
      <c r="F3" s="39"/>
      <c r="G3" s="39"/>
      <c r="H3" s="39"/>
      <c r="I3" s="39"/>
      <c r="J3" s="39"/>
      <c r="K3" s="39"/>
    </row>
    <row r="4" spans="2:13" ht="15">
      <c r="C4" s="41"/>
      <c r="D4" s="41"/>
      <c r="E4" s="39" t="s">
        <v>948</v>
      </c>
      <c r="F4" s="41"/>
      <c r="G4" s="41"/>
      <c r="H4" s="41"/>
      <c r="I4" s="41"/>
      <c r="J4" s="41"/>
      <c r="K4" s="41"/>
    </row>
    <row r="5" spans="2:13" ht="15">
      <c r="B5" s="41"/>
      <c r="C5" s="41"/>
      <c r="D5" s="41"/>
      <c r="E5" s="41" t="s">
        <v>585</v>
      </c>
      <c r="F5" s="41"/>
      <c r="G5" s="41"/>
      <c r="H5" s="41"/>
      <c r="I5" s="41"/>
      <c r="J5" s="41"/>
      <c r="K5" s="41"/>
    </row>
    <row r="6" spans="2:13" ht="15">
      <c r="B6" s="38" t="s">
        <v>68</v>
      </c>
      <c r="C6" s="38"/>
      <c r="D6" s="38"/>
      <c r="E6" s="38"/>
      <c r="F6" s="38"/>
      <c r="G6" s="38"/>
      <c r="H6" s="38"/>
      <c r="I6" s="38"/>
      <c r="J6" s="38"/>
      <c r="K6" s="38"/>
    </row>
    <row r="7" spans="2:13" ht="15">
      <c r="I7" s="31" t="s">
        <v>4</v>
      </c>
    </row>
    <row r="8" spans="2:13" ht="15" customHeight="1">
      <c r="B8" s="541" t="s">
        <v>360</v>
      </c>
      <c r="C8" s="541" t="s">
        <v>14</v>
      </c>
      <c r="D8" s="546" t="s">
        <v>1</v>
      </c>
      <c r="E8" s="187" t="s">
        <v>834</v>
      </c>
      <c r="F8" s="187" t="s">
        <v>835</v>
      </c>
      <c r="G8" s="45" t="s">
        <v>836</v>
      </c>
      <c r="H8" s="45" t="s">
        <v>837</v>
      </c>
      <c r="I8" s="45" t="s">
        <v>838</v>
      </c>
    </row>
    <row r="9" spans="2:13" ht="15">
      <c r="B9" s="541"/>
      <c r="C9" s="541"/>
      <c r="D9" s="547"/>
      <c r="E9" s="20" t="s">
        <v>422</v>
      </c>
      <c r="F9" s="20" t="s">
        <v>5</v>
      </c>
      <c r="G9" s="543" t="s">
        <v>8</v>
      </c>
      <c r="H9" s="543" t="s">
        <v>8</v>
      </c>
      <c r="I9" s="543" t="s">
        <v>8</v>
      </c>
    </row>
    <row r="10" spans="2:13" ht="15">
      <c r="B10" s="541"/>
      <c r="C10" s="541"/>
      <c r="D10" s="548"/>
      <c r="E10" s="20"/>
      <c r="F10" s="20"/>
      <c r="G10" s="544"/>
      <c r="H10" s="544"/>
      <c r="I10" s="544"/>
    </row>
    <row r="11" spans="2:13">
      <c r="B11" s="25">
        <v>1</v>
      </c>
      <c r="C11" s="34" t="s">
        <v>69</v>
      </c>
      <c r="D11" s="34" t="s">
        <v>20</v>
      </c>
      <c r="E11" s="184"/>
      <c r="F11" s="184"/>
      <c r="G11" s="184"/>
      <c r="H11" s="184"/>
      <c r="I11" s="184"/>
    </row>
    <row r="12" spans="2:13">
      <c r="B12" s="25">
        <f>B11+1</f>
        <v>2</v>
      </c>
      <c r="C12" s="43" t="s">
        <v>423</v>
      </c>
      <c r="D12" s="43" t="s">
        <v>21</v>
      </c>
      <c r="E12" s="185"/>
      <c r="F12" s="184"/>
      <c r="G12" s="184"/>
      <c r="H12" s="184"/>
      <c r="I12" s="184"/>
    </row>
    <row r="13" spans="2:13">
      <c r="B13" s="25">
        <f>B12+1</f>
        <v>3</v>
      </c>
      <c r="C13" s="34" t="s">
        <v>367</v>
      </c>
      <c r="D13" s="34" t="s">
        <v>452</v>
      </c>
      <c r="E13" s="184"/>
      <c r="F13" s="184"/>
      <c r="G13" s="184"/>
      <c r="H13" s="184"/>
      <c r="I13" s="184"/>
    </row>
    <row r="14" spans="2:13" ht="15">
      <c r="B14" s="25">
        <f>B13+1</f>
        <v>4</v>
      </c>
      <c r="C14" s="34" t="s">
        <v>70</v>
      </c>
      <c r="D14" s="34"/>
      <c r="E14" s="164">
        <f>E29</f>
        <v>33.049999999999997</v>
      </c>
      <c r="F14" s="164">
        <f>F29</f>
        <v>195.36</v>
      </c>
      <c r="G14" s="164">
        <f>G29</f>
        <v>205.6</v>
      </c>
      <c r="H14" s="164">
        <f>H29</f>
        <v>216.4</v>
      </c>
      <c r="I14" s="164">
        <f>I29</f>
        <v>227.76</v>
      </c>
      <c r="J14" s="124"/>
    </row>
    <row r="15" spans="2:13">
      <c r="B15" s="49" t="s">
        <v>425</v>
      </c>
      <c r="C15" s="50"/>
      <c r="D15" s="47"/>
      <c r="E15" s="47"/>
      <c r="F15" s="47"/>
      <c r="G15" s="48"/>
      <c r="H15" s="48"/>
      <c r="I15" s="48"/>
      <c r="J15" s="48"/>
      <c r="K15" s="48"/>
      <c r="L15" s="48"/>
      <c r="M15" s="48"/>
    </row>
    <row r="16" spans="2:13">
      <c r="B16" s="51">
        <v>1</v>
      </c>
      <c r="C16" s="50" t="s">
        <v>426</v>
      </c>
    </row>
    <row r="18" spans="2:10" ht="15">
      <c r="B18" s="545" t="s">
        <v>420</v>
      </c>
      <c r="C18" s="545"/>
      <c r="D18" s="545"/>
      <c r="E18" s="545"/>
      <c r="F18" s="545"/>
      <c r="G18" s="545"/>
      <c r="H18" s="545"/>
      <c r="I18" s="41"/>
    </row>
    <row r="19" spans="2:10" ht="15">
      <c r="B19" s="541" t="s">
        <v>109</v>
      </c>
      <c r="C19" s="541" t="s">
        <v>14</v>
      </c>
      <c r="D19" s="541" t="s">
        <v>71</v>
      </c>
      <c r="E19" s="542" t="s">
        <v>410</v>
      </c>
      <c r="F19" s="542"/>
      <c r="G19" s="542"/>
      <c r="H19" s="542"/>
      <c r="I19" s="542"/>
    </row>
    <row r="20" spans="2:10" ht="15">
      <c r="B20" s="541"/>
      <c r="C20" s="541"/>
      <c r="D20" s="541"/>
      <c r="E20" s="20" t="s">
        <v>668</v>
      </c>
      <c r="F20" s="20" t="s">
        <v>669</v>
      </c>
      <c r="G20" s="20" t="s">
        <v>670</v>
      </c>
      <c r="H20" s="20" t="s">
        <v>671</v>
      </c>
      <c r="I20" s="20" t="s">
        <v>672</v>
      </c>
      <c r="J20" s="41"/>
    </row>
    <row r="21" spans="2:10" ht="15">
      <c r="B21" s="541"/>
      <c r="C21" s="541"/>
      <c r="D21" s="541"/>
      <c r="E21" s="20"/>
      <c r="F21" s="20" t="s">
        <v>8</v>
      </c>
      <c r="G21" s="20" t="s">
        <v>8</v>
      </c>
      <c r="H21" s="20" t="s">
        <v>8</v>
      </c>
      <c r="I21" s="20" t="s">
        <v>8</v>
      </c>
      <c r="J21" s="44"/>
    </row>
    <row r="22" spans="2:10" ht="15">
      <c r="B22" s="28" t="s">
        <v>67</v>
      </c>
      <c r="C22" s="45" t="s">
        <v>424</v>
      </c>
      <c r="D22" s="32"/>
      <c r="E22" s="32"/>
      <c r="F22" s="32"/>
      <c r="G22" s="32"/>
      <c r="H22" s="32"/>
      <c r="I22" s="32"/>
    </row>
    <row r="23" spans="2:10">
      <c r="B23" s="25">
        <v>1</v>
      </c>
      <c r="C23" s="32" t="s">
        <v>403</v>
      </c>
      <c r="D23" s="32" t="s">
        <v>370</v>
      </c>
      <c r="E23" s="32">
        <v>23.2</v>
      </c>
      <c r="F23" s="32">
        <v>24.42</v>
      </c>
      <c r="G23" s="32">
        <v>25.7</v>
      </c>
      <c r="H23" s="32">
        <v>27.05</v>
      </c>
      <c r="I23" s="32">
        <v>28.47</v>
      </c>
    </row>
    <row r="24" spans="2:10">
      <c r="B24" s="25"/>
      <c r="C24" s="32"/>
      <c r="D24" s="32"/>
      <c r="E24" s="32"/>
      <c r="F24" s="32"/>
      <c r="G24" s="32"/>
      <c r="H24" s="32"/>
      <c r="I24" s="32"/>
    </row>
    <row r="25" spans="2:10" ht="15">
      <c r="B25" s="28" t="s">
        <v>72</v>
      </c>
      <c r="C25" s="45" t="s">
        <v>368</v>
      </c>
      <c r="D25" s="32"/>
      <c r="E25" s="32"/>
      <c r="F25" s="32"/>
      <c r="G25" s="32"/>
      <c r="H25" s="32"/>
      <c r="I25" s="32"/>
    </row>
    <row r="26" spans="2:10">
      <c r="B26" s="25">
        <v>1</v>
      </c>
      <c r="C26" s="32" t="s">
        <v>403</v>
      </c>
      <c r="D26" s="32" t="s">
        <v>38</v>
      </c>
      <c r="E26" s="32">
        <v>1</v>
      </c>
      <c r="F26" s="32">
        <v>1</v>
      </c>
      <c r="G26" s="32">
        <v>1</v>
      </c>
      <c r="H26" s="32">
        <v>1</v>
      </c>
      <c r="I26" s="32">
        <v>1</v>
      </c>
    </row>
    <row r="27" spans="2:10">
      <c r="B27" s="25"/>
      <c r="C27" s="32" t="s">
        <v>675</v>
      </c>
      <c r="D27" s="32" t="s">
        <v>940</v>
      </c>
      <c r="E27" s="32">
        <v>65</v>
      </c>
      <c r="F27" s="32">
        <v>365</v>
      </c>
      <c r="G27" s="32">
        <v>365</v>
      </c>
      <c r="H27" s="32">
        <v>366</v>
      </c>
      <c r="I27" s="32">
        <v>365</v>
      </c>
    </row>
    <row r="28" spans="2:10" ht="15">
      <c r="B28" s="28" t="s">
        <v>73</v>
      </c>
      <c r="C28" s="45" t="s">
        <v>369</v>
      </c>
      <c r="D28" s="32"/>
      <c r="E28" s="32"/>
      <c r="F28" s="32"/>
      <c r="G28" s="32"/>
      <c r="H28" s="32"/>
      <c r="I28" s="32"/>
    </row>
    <row r="29" spans="2:10" ht="15">
      <c r="B29" s="28">
        <v>1</v>
      </c>
      <c r="C29" s="45" t="s">
        <v>403</v>
      </c>
      <c r="D29" s="45" t="s">
        <v>362</v>
      </c>
      <c r="E29" s="180">
        <f>ROUND(800*E23*65/365/100,2)</f>
        <v>33.049999999999997</v>
      </c>
      <c r="F29" s="180">
        <f>ROUND(800*F23/100,2)</f>
        <v>195.36</v>
      </c>
      <c r="G29" s="180">
        <f>ROUND(G23*800/100,2)</f>
        <v>205.6</v>
      </c>
      <c r="H29" s="180">
        <f>ROUND(H23*800/100,2)</f>
        <v>216.4</v>
      </c>
      <c r="I29" s="180">
        <f>ROUND(I23*800/100,2)</f>
        <v>227.76</v>
      </c>
      <c r="J29" s="124"/>
    </row>
    <row r="30" spans="2:10">
      <c r="B30" s="40"/>
      <c r="C30" s="5" t="s">
        <v>944</v>
      </c>
    </row>
  </sheetData>
  <mergeCells count="11">
    <mergeCell ref="B19:B21"/>
    <mergeCell ref="C19:C21"/>
    <mergeCell ref="D19:D21"/>
    <mergeCell ref="E19:I19"/>
    <mergeCell ref="H9:H10"/>
    <mergeCell ref="B8:B10"/>
    <mergeCell ref="C8:C10"/>
    <mergeCell ref="G9:G10"/>
    <mergeCell ref="B18:H18"/>
    <mergeCell ref="D8:D10"/>
    <mergeCell ref="I9:I10"/>
  </mergeCells>
  <pageMargins left="0.95866141699999996" right="0.70866141732283505" top="0.74803149606299202" bottom="0.74803149606299202" header="0.31496062992126" footer="0.31496062992126"/>
  <pageSetup paperSize="9" orientation="landscape" r:id="rId1"/>
</worksheet>
</file>

<file path=xl/worksheets/sheet5.xml><?xml version="1.0" encoding="utf-8"?>
<worksheet xmlns="http://schemas.openxmlformats.org/spreadsheetml/2006/main" xmlns:r="http://schemas.openxmlformats.org/officeDocument/2006/relationships">
  <dimension ref="B1:H16"/>
  <sheetViews>
    <sheetView showGridLines="0" zoomScaleSheetLayoutView="90" workbookViewId="0">
      <selection activeCell="L24" sqref="L24"/>
    </sheetView>
  </sheetViews>
  <sheetFormatPr defaultColWidth="9.28515625" defaultRowHeight="14.25"/>
  <cols>
    <col min="1" max="1" width="4.28515625" style="4" customWidth="1"/>
    <col min="2" max="2" width="6.28515625" style="4" customWidth="1"/>
    <col min="3" max="3" width="34.5703125" style="4" customWidth="1"/>
    <col min="4" max="4" width="12.5703125" style="4" bestFit="1" customWidth="1"/>
    <col min="5" max="5" width="12.5703125" style="4" customWidth="1"/>
    <col min="6" max="6" width="11.7109375" style="4" bestFit="1" customWidth="1"/>
    <col min="7" max="7" width="13.7109375" style="4" bestFit="1" customWidth="1"/>
    <col min="8" max="11" width="11.7109375" style="4" bestFit="1" customWidth="1"/>
    <col min="12" max="16384" width="9.28515625" style="4"/>
  </cols>
  <sheetData>
    <row r="1" spans="2:8" ht="15">
      <c r="B1" s="52"/>
    </row>
    <row r="2" spans="2:8" ht="14.25" customHeight="1">
      <c r="B2" s="553" t="s">
        <v>678</v>
      </c>
      <c r="C2" s="553"/>
      <c r="D2" s="553"/>
      <c r="E2" s="553"/>
      <c r="F2" s="553"/>
      <c r="G2" s="553"/>
      <c r="H2" s="553"/>
    </row>
    <row r="3" spans="2:8" ht="14.25" customHeight="1">
      <c r="B3" s="553" t="s">
        <v>948</v>
      </c>
      <c r="C3" s="553"/>
      <c r="D3" s="553"/>
      <c r="E3" s="553"/>
      <c r="F3" s="553"/>
      <c r="G3" s="553"/>
      <c r="H3" s="553"/>
    </row>
    <row r="4" spans="2:8" ht="14.25" customHeight="1">
      <c r="B4" s="554" t="s">
        <v>453</v>
      </c>
      <c r="C4" s="554"/>
      <c r="D4" s="554"/>
      <c r="E4" s="554"/>
      <c r="F4" s="554"/>
      <c r="G4" s="554"/>
      <c r="H4" s="554"/>
    </row>
    <row r="5" spans="2:8" ht="15">
      <c r="B5" s="42"/>
      <c r="C5" s="53"/>
      <c r="D5" s="53"/>
      <c r="E5" s="53"/>
      <c r="F5" s="53"/>
      <c r="G5" s="53"/>
    </row>
    <row r="6" spans="2:8" ht="15">
      <c r="H6" s="31" t="s">
        <v>4</v>
      </c>
    </row>
    <row r="7" spans="2:8" s="18" customFormat="1" ht="15" customHeight="1">
      <c r="B7" s="543" t="s">
        <v>360</v>
      </c>
      <c r="C7" s="551" t="s">
        <v>14</v>
      </c>
      <c r="D7" s="187"/>
      <c r="E7" s="288"/>
      <c r="F7" s="542" t="s">
        <v>410</v>
      </c>
      <c r="G7" s="542"/>
      <c r="H7" s="542"/>
    </row>
    <row r="8" spans="2:8" s="18" customFormat="1" ht="30">
      <c r="B8" s="549"/>
      <c r="C8" s="551"/>
      <c r="D8" s="20" t="s">
        <v>668</v>
      </c>
      <c r="E8" s="20" t="s">
        <v>669</v>
      </c>
      <c r="F8" s="20" t="s">
        <v>670</v>
      </c>
      <c r="G8" s="20" t="s">
        <v>671</v>
      </c>
      <c r="H8" s="20" t="s">
        <v>672</v>
      </c>
    </row>
    <row r="9" spans="2:8" s="18" customFormat="1" ht="15">
      <c r="B9" s="550"/>
      <c r="C9" s="552"/>
      <c r="D9" s="20"/>
      <c r="E9" s="20" t="s">
        <v>5</v>
      </c>
      <c r="F9" s="20" t="s">
        <v>8</v>
      </c>
      <c r="G9" s="20" t="s">
        <v>8</v>
      </c>
      <c r="H9" s="20" t="s">
        <v>8</v>
      </c>
    </row>
    <row r="10" spans="2:8" s="5" customFormat="1">
      <c r="B10" s="55">
        <v>1</v>
      </c>
      <c r="C10" s="32" t="s">
        <v>427</v>
      </c>
      <c r="D10" s="177">
        <f>F3.1!G53-75.97</f>
        <v>9892.9800000000014</v>
      </c>
      <c r="E10" s="182">
        <f>D13</f>
        <v>695.43563439999889</v>
      </c>
      <c r="F10" s="182">
        <f>E13</f>
        <v>0</v>
      </c>
      <c r="G10" s="182">
        <f>F13</f>
        <v>0</v>
      </c>
      <c r="H10" s="182">
        <f>G13</f>
        <v>0</v>
      </c>
    </row>
    <row r="11" spans="2:8" s="5" customFormat="1">
      <c r="B11" s="25">
        <v>2</v>
      </c>
      <c r="C11" s="32" t="s">
        <v>456</v>
      </c>
      <c r="D11" s="177">
        <v>75.97</v>
      </c>
      <c r="E11" s="182">
        <f>F3.1!G94</f>
        <v>294.61251762449376</v>
      </c>
      <c r="F11" s="182"/>
      <c r="G11" s="182">
        <f>F3.1!G35</f>
        <v>0</v>
      </c>
      <c r="H11" s="182"/>
    </row>
    <row r="12" spans="2:8" s="5" customFormat="1" ht="15">
      <c r="B12" s="25">
        <v>3</v>
      </c>
      <c r="C12" s="34" t="s">
        <v>405</v>
      </c>
      <c r="D12" s="318">
        <f>F3.1!H53</f>
        <v>9273.5143656000018</v>
      </c>
      <c r="E12" s="319">
        <f>E10+E11</f>
        <v>990.04815202449265</v>
      </c>
      <c r="F12" s="319"/>
      <c r="G12" s="319"/>
      <c r="H12" s="319">
        <f>F3.1!H41</f>
        <v>0</v>
      </c>
    </row>
    <row r="13" spans="2:8" s="5" customFormat="1" ht="15">
      <c r="B13" s="25">
        <v>4</v>
      </c>
      <c r="C13" s="32" t="s">
        <v>428</v>
      </c>
      <c r="D13" s="320">
        <f>D10+D11-D12</f>
        <v>695.43563439999889</v>
      </c>
      <c r="E13" s="321">
        <f>E10+E11-E12</f>
        <v>0</v>
      </c>
      <c r="F13" s="321">
        <f t="shared" ref="F13:H13" si="0">F10-F11</f>
        <v>0</v>
      </c>
      <c r="G13" s="321">
        <f t="shared" si="0"/>
        <v>0</v>
      </c>
      <c r="H13" s="321">
        <f t="shared" si="0"/>
        <v>0</v>
      </c>
    </row>
    <row r="14" spans="2:8" s="38" customFormat="1" ht="15">
      <c r="B14" s="56"/>
      <c r="C14" s="49"/>
      <c r="D14" s="54"/>
      <c r="E14" s="369"/>
      <c r="F14" s="369"/>
      <c r="G14" s="369"/>
      <c r="H14" s="29"/>
    </row>
    <row r="15" spans="2:8">
      <c r="E15" s="370"/>
      <c r="G15" s="370"/>
    </row>
    <row r="16" spans="2:8">
      <c r="B16" s="57"/>
    </row>
  </sheetData>
  <mergeCells count="6">
    <mergeCell ref="B7:B9"/>
    <mergeCell ref="C7:C9"/>
    <mergeCell ref="F7:H7"/>
    <mergeCell ref="B2:H2"/>
    <mergeCell ref="B3:H3"/>
    <mergeCell ref="B4:H4"/>
  </mergeCells>
  <pageMargins left="0.77" right="0.25" top="1" bottom="1" header="0.25" footer="0.25"/>
  <pageSetup paperSize="9" scale="120" orientation="landscape"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BY96"/>
  <sheetViews>
    <sheetView showGridLines="0" view="pageBreakPreview" topLeftCell="C1" zoomScale="80" zoomScaleNormal="80" zoomScaleSheetLayoutView="80" workbookViewId="0">
      <selection activeCell="H66" sqref="H66"/>
    </sheetView>
  </sheetViews>
  <sheetFormatPr defaultColWidth="9.28515625" defaultRowHeight="14.25"/>
  <cols>
    <col min="1" max="1" width="4.28515625" style="5" customWidth="1"/>
    <col min="2" max="2" width="6.28515625" style="5" customWidth="1"/>
    <col min="3" max="3" width="15.85546875" style="5" customWidth="1"/>
    <col min="4" max="4" width="37.28515625" style="191" customWidth="1"/>
    <col min="5" max="5" width="18" style="105" customWidth="1"/>
    <col min="6" max="6" width="14.140625" style="5" customWidth="1"/>
    <col min="7" max="7" width="13.140625" style="5" customWidth="1"/>
    <col min="8" max="8" width="14.7109375" style="5" customWidth="1"/>
    <col min="9" max="9" width="35.85546875" style="105" customWidth="1"/>
    <col min="10" max="10" width="18" style="5" customWidth="1"/>
    <col min="11" max="11" width="25.7109375" style="5" customWidth="1"/>
    <col min="12" max="12" width="17" style="5" customWidth="1"/>
    <col min="13" max="13" width="13.7109375" style="5" bestFit="1" customWidth="1"/>
    <col min="14" max="19" width="11.7109375" style="5" bestFit="1" customWidth="1"/>
    <col min="20" max="16384" width="9.28515625" style="5"/>
  </cols>
  <sheetData>
    <row r="1" spans="2:14" ht="15">
      <c r="B1" s="29"/>
    </row>
    <row r="2" spans="2:14" ht="15">
      <c r="B2" s="553" t="s">
        <v>678</v>
      </c>
      <c r="C2" s="553"/>
      <c r="D2" s="553"/>
      <c r="E2" s="553"/>
      <c r="F2" s="553"/>
      <c r="G2" s="553"/>
      <c r="H2" s="553"/>
      <c r="I2" s="553"/>
      <c r="J2" s="553"/>
      <c r="K2" s="553"/>
      <c r="L2" s="553"/>
    </row>
    <row r="3" spans="2:14" ht="15">
      <c r="B3" s="553" t="s">
        <v>1071</v>
      </c>
      <c r="C3" s="553"/>
      <c r="D3" s="553"/>
      <c r="E3" s="553"/>
      <c r="F3" s="553"/>
      <c r="G3" s="553"/>
      <c r="H3" s="553"/>
      <c r="I3" s="553"/>
      <c r="J3" s="553"/>
      <c r="K3" s="553"/>
      <c r="L3" s="553"/>
    </row>
    <row r="4" spans="2:14" ht="15">
      <c r="B4" s="554" t="s">
        <v>454</v>
      </c>
      <c r="C4" s="554"/>
      <c r="D4" s="554"/>
      <c r="E4" s="554"/>
      <c r="F4" s="554"/>
      <c r="G4" s="554"/>
      <c r="H4" s="554"/>
      <c r="I4" s="554"/>
      <c r="J4" s="554"/>
      <c r="K4" s="554"/>
      <c r="L4" s="554"/>
    </row>
    <row r="5" spans="2:14" ht="15">
      <c r="K5" s="41"/>
    </row>
    <row r="6" spans="2:14" ht="72.75" customHeight="1">
      <c r="B6" s="20" t="s">
        <v>360</v>
      </c>
      <c r="C6" s="28" t="s">
        <v>429</v>
      </c>
      <c r="D6" s="35" t="s">
        <v>431</v>
      </c>
      <c r="E6" s="36" t="s">
        <v>430</v>
      </c>
      <c r="F6" s="36" t="s">
        <v>433</v>
      </c>
      <c r="G6" s="36" t="s">
        <v>436</v>
      </c>
      <c r="H6" s="36" t="s">
        <v>437</v>
      </c>
      <c r="I6" s="36" t="s">
        <v>449</v>
      </c>
      <c r="J6" s="28" t="s">
        <v>432</v>
      </c>
      <c r="K6" s="36" t="s">
        <v>968</v>
      </c>
      <c r="L6" s="36" t="s">
        <v>340</v>
      </c>
      <c r="M6" s="30"/>
    </row>
    <row r="7" spans="2:14" ht="24" customHeight="1">
      <c r="B7" s="373"/>
      <c r="C7" s="5" t="s">
        <v>1070</v>
      </c>
      <c r="D7" s="476" t="s">
        <v>1072</v>
      </c>
      <c r="E7" s="449"/>
      <c r="F7" s="449"/>
      <c r="G7" s="449"/>
      <c r="H7" s="36"/>
      <c r="I7" s="36"/>
      <c r="J7" s="28"/>
      <c r="K7" s="36"/>
      <c r="L7" s="36"/>
      <c r="M7" s="30"/>
    </row>
    <row r="8" spans="2:14" s="38" customFormat="1" ht="15" customHeight="1">
      <c r="B8" s="557"/>
      <c r="C8" s="578" t="s">
        <v>954</v>
      </c>
      <c r="D8" s="563" t="s">
        <v>969</v>
      </c>
      <c r="E8" s="566" t="s">
        <v>970</v>
      </c>
      <c r="F8" s="555">
        <v>17249.77</v>
      </c>
      <c r="G8" s="555">
        <v>3297.34</v>
      </c>
      <c r="H8" s="291">
        <v>3020.9100000000003</v>
      </c>
      <c r="I8" s="58" t="s">
        <v>825</v>
      </c>
      <c r="J8" s="418"/>
      <c r="K8" s="36"/>
      <c r="L8" s="37"/>
      <c r="M8" s="29"/>
      <c r="N8" s="29"/>
    </row>
    <row r="9" spans="2:14" s="38" customFormat="1" ht="20.25" customHeight="1">
      <c r="B9" s="558"/>
      <c r="C9" s="579"/>
      <c r="D9" s="564"/>
      <c r="E9" s="567"/>
      <c r="F9" s="568"/>
      <c r="G9" s="568"/>
      <c r="H9" s="291">
        <v>48.81</v>
      </c>
      <c r="I9" s="58" t="s">
        <v>971</v>
      </c>
      <c r="J9" s="418"/>
      <c r="K9" s="36"/>
      <c r="L9" s="37"/>
      <c r="M9" s="29"/>
      <c r="N9" s="29"/>
    </row>
    <row r="10" spans="2:14" s="38" customFormat="1" ht="18.75" customHeight="1">
      <c r="B10" s="558"/>
      <c r="C10" s="579"/>
      <c r="D10" s="564"/>
      <c r="E10" s="567"/>
      <c r="F10" s="568"/>
      <c r="G10" s="568"/>
      <c r="H10" s="291">
        <v>27.76</v>
      </c>
      <c r="I10" s="58" t="s">
        <v>972</v>
      </c>
      <c r="J10" s="418"/>
      <c r="K10" s="36"/>
      <c r="L10" s="37"/>
      <c r="M10" s="29"/>
      <c r="N10" s="29"/>
    </row>
    <row r="11" spans="2:14" s="38" customFormat="1" ht="31.5" customHeight="1">
      <c r="B11" s="559"/>
      <c r="C11" s="580"/>
      <c r="D11" s="565"/>
      <c r="E11" s="550"/>
      <c r="F11" s="556"/>
      <c r="G11" s="556"/>
      <c r="H11" s="291">
        <v>0.77</v>
      </c>
      <c r="I11" s="58" t="s">
        <v>973</v>
      </c>
      <c r="J11" s="418"/>
      <c r="K11" s="36"/>
      <c r="L11" s="37"/>
      <c r="M11" s="29"/>
      <c r="N11" s="29"/>
    </row>
    <row r="12" spans="2:14" s="38" customFormat="1" ht="12" customHeight="1">
      <c r="B12" s="25"/>
      <c r="C12" s="455"/>
      <c r="D12" s="118"/>
      <c r="E12" s="69"/>
      <c r="F12" s="418"/>
      <c r="G12" s="418"/>
      <c r="H12" s="291"/>
      <c r="I12" s="69"/>
      <c r="J12" s="418"/>
      <c r="K12" s="36"/>
      <c r="L12" s="37"/>
      <c r="M12" s="29"/>
      <c r="N12" s="29"/>
    </row>
    <row r="13" spans="2:14" s="38" customFormat="1" ht="15" customHeight="1">
      <c r="B13" s="557"/>
      <c r="C13" s="560" t="s">
        <v>974</v>
      </c>
      <c r="D13" s="563" t="s">
        <v>975</v>
      </c>
      <c r="E13" s="566" t="s">
        <v>976</v>
      </c>
      <c r="F13" s="555">
        <v>3728.8</v>
      </c>
      <c r="G13" s="555">
        <v>2154.63</v>
      </c>
      <c r="H13" s="291">
        <v>153.24</v>
      </c>
      <c r="I13" s="69" t="s">
        <v>977</v>
      </c>
      <c r="J13" s="418"/>
      <c r="K13" s="36"/>
      <c r="L13" s="37"/>
      <c r="M13" s="29"/>
      <c r="N13" s="29"/>
    </row>
    <row r="14" spans="2:14" s="38" customFormat="1" ht="15">
      <c r="B14" s="558"/>
      <c r="C14" s="561"/>
      <c r="D14" s="564"/>
      <c r="E14" s="567"/>
      <c r="F14" s="568"/>
      <c r="G14" s="568"/>
      <c r="H14" s="291">
        <v>1304.95</v>
      </c>
      <c r="I14" s="58" t="s">
        <v>825</v>
      </c>
      <c r="J14" s="418"/>
      <c r="K14" s="36"/>
      <c r="L14" s="37"/>
      <c r="M14" s="29"/>
      <c r="N14" s="29"/>
    </row>
    <row r="15" spans="2:14" s="38" customFormat="1" ht="15">
      <c r="B15" s="558"/>
      <c r="C15" s="561"/>
      <c r="D15" s="564"/>
      <c r="E15" s="567"/>
      <c r="F15" s="568"/>
      <c r="G15" s="568"/>
      <c r="H15" s="291">
        <v>201.27</v>
      </c>
      <c r="I15" s="58" t="s">
        <v>971</v>
      </c>
      <c r="J15" s="418"/>
      <c r="K15" s="36"/>
      <c r="L15" s="37"/>
      <c r="M15" s="29"/>
      <c r="N15" s="29"/>
    </row>
    <row r="16" spans="2:14" s="38" customFormat="1" ht="15">
      <c r="B16" s="559"/>
      <c r="C16" s="562"/>
      <c r="D16" s="565"/>
      <c r="E16" s="550"/>
      <c r="F16" s="556"/>
      <c r="G16" s="556"/>
      <c r="H16" s="291">
        <v>89.28</v>
      </c>
      <c r="I16" s="58" t="s">
        <v>978</v>
      </c>
      <c r="J16" s="418"/>
      <c r="K16" s="36"/>
      <c r="L16" s="37"/>
      <c r="M16" s="29"/>
      <c r="N16" s="29"/>
    </row>
    <row r="17" spans="2:14" s="38" customFormat="1" ht="17.25" customHeight="1">
      <c r="B17" s="25"/>
      <c r="C17" s="33"/>
      <c r="D17" s="401" t="s">
        <v>744</v>
      </c>
      <c r="E17" s="69"/>
      <c r="F17" s="418">
        <v>44.449999999999989</v>
      </c>
      <c r="G17" s="418"/>
      <c r="H17" s="291"/>
      <c r="I17" s="69"/>
      <c r="J17" s="418"/>
      <c r="K17" s="36"/>
      <c r="L17" s="37"/>
      <c r="M17" s="29"/>
      <c r="N17" s="29"/>
    </row>
    <row r="18" spans="2:14" s="38" customFormat="1" ht="15" customHeight="1">
      <c r="B18" s="25"/>
      <c r="C18" s="93"/>
      <c r="D18" s="397" t="s">
        <v>745</v>
      </c>
      <c r="E18" s="69"/>
      <c r="F18" s="419">
        <f>SUM(F8:F17)</f>
        <v>21023.02</v>
      </c>
      <c r="G18" s="419">
        <f>SUM(G8:G17)</f>
        <v>5451.97</v>
      </c>
      <c r="H18" s="291"/>
      <c r="I18" s="69"/>
      <c r="J18" s="418"/>
      <c r="K18" s="36"/>
      <c r="L18" s="37"/>
      <c r="M18" s="29"/>
      <c r="N18" s="29"/>
    </row>
    <row r="19" spans="2:14" s="38" customFormat="1" ht="28.5">
      <c r="B19" s="25"/>
      <c r="C19" s="33" t="s">
        <v>979</v>
      </c>
      <c r="D19" s="401" t="s">
        <v>746</v>
      </c>
      <c r="E19" s="69"/>
      <c r="F19" s="418">
        <v>70.670000000000016</v>
      </c>
      <c r="G19" s="418">
        <v>10.92</v>
      </c>
      <c r="H19" s="291"/>
      <c r="I19" s="69"/>
      <c r="J19" s="418"/>
      <c r="K19" s="36"/>
      <c r="L19" s="37"/>
      <c r="M19" s="29"/>
      <c r="N19" s="29"/>
    </row>
    <row r="20" spans="2:14" s="38" customFormat="1" ht="15">
      <c r="B20" s="25"/>
      <c r="C20" s="33"/>
      <c r="D20" s="118" t="s">
        <v>400</v>
      </c>
      <c r="E20" s="69"/>
      <c r="F20" s="418">
        <v>528.14</v>
      </c>
      <c r="G20" s="418">
        <v>492.03</v>
      </c>
      <c r="H20" s="420">
        <v>492.0343656</v>
      </c>
      <c r="I20" s="69" t="s">
        <v>132</v>
      </c>
      <c r="J20" s="418"/>
      <c r="K20" s="36"/>
      <c r="L20" s="37"/>
      <c r="M20" s="29"/>
      <c r="N20" s="29"/>
    </row>
    <row r="21" spans="2:14" s="38" customFormat="1" ht="15" customHeight="1">
      <c r="B21" s="557"/>
      <c r="C21" s="560" t="s">
        <v>980</v>
      </c>
      <c r="D21" s="572" t="s">
        <v>981</v>
      </c>
      <c r="E21" s="566"/>
      <c r="F21" s="575">
        <v>3821.42</v>
      </c>
      <c r="G21" s="575">
        <v>1352</v>
      </c>
      <c r="H21" s="291">
        <v>62.290000000000013</v>
      </c>
      <c r="I21" s="69" t="s">
        <v>977</v>
      </c>
      <c r="J21" s="418"/>
      <c r="K21" s="36"/>
      <c r="L21" s="37"/>
      <c r="M21" s="29"/>
      <c r="N21" s="29"/>
    </row>
    <row r="22" spans="2:14" s="38" customFormat="1" ht="15">
      <c r="B22" s="558"/>
      <c r="C22" s="561"/>
      <c r="D22" s="573"/>
      <c r="E22" s="567"/>
      <c r="F22" s="576"/>
      <c r="G22" s="576"/>
      <c r="H22" s="291">
        <v>466.54</v>
      </c>
      <c r="I22" s="58" t="s">
        <v>825</v>
      </c>
      <c r="J22" s="418"/>
      <c r="K22" s="36"/>
      <c r="L22" s="37"/>
      <c r="M22" s="29"/>
      <c r="N22" s="29"/>
    </row>
    <row r="23" spans="2:14" s="38" customFormat="1" ht="22.5" customHeight="1">
      <c r="B23" s="558"/>
      <c r="C23" s="561"/>
      <c r="D23" s="573"/>
      <c r="E23" s="567"/>
      <c r="F23" s="576"/>
      <c r="G23" s="576"/>
      <c r="H23" s="291">
        <v>514.75</v>
      </c>
      <c r="I23" s="58" t="s">
        <v>971</v>
      </c>
      <c r="J23" s="418"/>
      <c r="K23" s="36"/>
      <c r="L23" s="37"/>
      <c r="M23" s="29"/>
      <c r="N23" s="29"/>
    </row>
    <row r="24" spans="2:14" s="38" customFormat="1" ht="15">
      <c r="B24" s="558"/>
      <c r="C24" s="561"/>
      <c r="D24" s="573"/>
      <c r="E24" s="567"/>
      <c r="F24" s="576"/>
      <c r="G24" s="576"/>
      <c r="H24" s="291">
        <v>238.06</v>
      </c>
      <c r="I24" s="468" t="s">
        <v>978</v>
      </c>
      <c r="J24" s="418"/>
      <c r="K24" s="36"/>
      <c r="L24" s="37"/>
      <c r="M24" s="29"/>
      <c r="N24" s="29"/>
    </row>
    <row r="25" spans="2:14" s="38" customFormat="1" ht="15">
      <c r="B25" s="559"/>
      <c r="C25" s="562"/>
      <c r="D25" s="574"/>
      <c r="E25" s="550"/>
      <c r="F25" s="577"/>
      <c r="G25" s="577"/>
      <c r="H25" s="291">
        <v>0.79999999999999993</v>
      </c>
      <c r="I25" s="58" t="s">
        <v>827</v>
      </c>
      <c r="J25" s="418"/>
      <c r="K25" s="36"/>
      <c r="L25" s="37"/>
      <c r="M25" s="29"/>
      <c r="N25" s="29"/>
    </row>
    <row r="26" spans="2:14" s="38" customFormat="1" ht="15">
      <c r="B26" s="55"/>
      <c r="C26" s="454"/>
      <c r="D26" s="477"/>
      <c r="E26" s="374"/>
      <c r="F26" s="456"/>
      <c r="G26" s="456"/>
      <c r="H26" s="291">
        <v>4.1500000000000004</v>
      </c>
      <c r="I26" s="58" t="s">
        <v>982</v>
      </c>
      <c r="J26" s="418"/>
      <c r="K26" s="36"/>
      <c r="L26" s="37"/>
      <c r="M26" s="29"/>
      <c r="N26" s="29"/>
    </row>
    <row r="27" spans="2:14" s="38" customFormat="1" ht="30" customHeight="1">
      <c r="B27" s="55"/>
      <c r="C27" s="454"/>
      <c r="D27" s="477"/>
      <c r="E27" s="374"/>
      <c r="F27" s="456"/>
      <c r="G27" s="456"/>
      <c r="H27" s="291">
        <v>2.5299999999999998</v>
      </c>
      <c r="I27" s="58" t="s">
        <v>983</v>
      </c>
      <c r="J27" s="418"/>
      <c r="K27" s="36"/>
      <c r="L27" s="37"/>
      <c r="M27" s="29"/>
      <c r="N27" s="29"/>
    </row>
    <row r="28" spans="2:14" s="38" customFormat="1" ht="15">
      <c r="B28" s="55"/>
      <c r="C28" s="454"/>
      <c r="D28" s="477"/>
      <c r="E28" s="374"/>
      <c r="F28" s="456"/>
      <c r="G28" s="456"/>
      <c r="H28" s="291">
        <v>6.26</v>
      </c>
      <c r="I28" s="58" t="s">
        <v>984</v>
      </c>
      <c r="J28" s="418"/>
      <c r="K28" s="36"/>
      <c r="L28" s="37"/>
      <c r="M28" s="29"/>
      <c r="N28" s="29"/>
    </row>
    <row r="29" spans="2:14" s="38" customFormat="1" ht="15">
      <c r="B29" s="25"/>
      <c r="C29" s="33" t="s">
        <v>985</v>
      </c>
      <c r="D29" s="118" t="s">
        <v>747</v>
      </c>
      <c r="E29" s="69"/>
      <c r="F29" s="418">
        <v>96.14</v>
      </c>
      <c r="G29" s="418">
        <v>5.69</v>
      </c>
      <c r="H29" s="291">
        <v>5.62</v>
      </c>
      <c r="I29" s="69" t="s">
        <v>977</v>
      </c>
      <c r="J29" s="418"/>
      <c r="K29" s="36"/>
      <c r="L29" s="37"/>
      <c r="M29" s="29"/>
      <c r="N29" s="29"/>
    </row>
    <row r="30" spans="2:14" s="38" customFormat="1" ht="15" customHeight="1">
      <c r="B30" s="557"/>
      <c r="C30" s="560" t="s">
        <v>986</v>
      </c>
      <c r="D30" s="563" t="s">
        <v>1074</v>
      </c>
      <c r="E30" s="566"/>
      <c r="F30" s="555">
        <v>1584.08</v>
      </c>
      <c r="G30" s="555">
        <v>225.22</v>
      </c>
      <c r="H30" s="291">
        <v>4.97</v>
      </c>
      <c r="I30" s="69" t="s">
        <v>977</v>
      </c>
      <c r="J30" s="418"/>
      <c r="K30" s="36"/>
      <c r="L30" s="37"/>
      <c r="M30" s="29"/>
      <c r="N30" s="29"/>
    </row>
    <row r="31" spans="2:14" s="38" customFormat="1" ht="18.75" customHeight="1">
      <c r="B31" s="558"/>
      <c r="C31" s="561"/>
      <c r="D31" s="564"/>
      <c r="E31" s="567"/>
      <c r="F31" s="568"/>
      <c r="G31" s="568"/>
      <c r="H31" s="291">
        <v>180.84</v>
      </c>
      <c r="I31" s="58" t="s">
        <v>825</v>
      </c>
      <c r="J31" s="418"/>
      <c r="K31" s="36"/>
      <c r="L31" s="37"/>
      <c r="M31" s="29"/>
      <c r="N31" s="29"/>
    </row>
    <row r="32" spans="2:14" s="38" customFormat="1" ht="15">
      <c r="B32" s="558"/>
      <c r="C32" s="561"/>
      <c r="D32" s="564"/>
      <c r="E32" s="567"/>
      <c r="F32" s="568"/>
      <c r="G32" s="568"/>
      <c r="H32" s="291">
        <v>20.22</v>
      </c>
      <c r="I32" s="58" t="s">
        <v>971</v>
      </c>
      <c r="J32" s="418"/>
      <c r="K32" s="36"/>
      <c r="L32" s="37"/>
      <c r="M32" s="29"/>
      <c r="N32" s="29"/>
    </row>
    <row r="33" spans="2:14" s="38" customFormat="1" ht="15">
      <c r="B33" s="558"/>
      <c r="C33" s="561"/>
      <c r="D33" s="564"/>
      <c r="E33" s="567"/>
      <c r="F33" s="568"/>
      <c r="G33" s="568"/>
      <c r="H33" s="291">
        <v>8.6</v>
      </c>
      <c r="I33" s="468" t="s">
        <v>978</v>
      </c>
      <c r="J33" s="418"/>
      <c r="K33" s="36"/>
      <c r="L33" s="37"/>
      <c r="M33" s="29"/>
      <c r="N33" s="29"/>
    </row>
    <row r="34" spans="2:14" s="38" customFormat="1" ht="18" customHeight="1">
      <c r="B34" s="559"/>
      <c r="C34" s="562"/>
      <c r="D34" s="565"/>
      <c r="E34" s="550"/>
      <c r="F34" s="556"/>
      <c r="G34" s="556"/>
      <c r="H34" s="291">
        <v>0.78</v>
      </c>
      <c r="I34" s="58" t="s">
        <v>972</v>
      </c>
      <c r="J34" s="418"/>
      <c r="K34" s="36"/>
      <c r="L34" s="37"/>
      <c r="M34" s="29"/>
      <c r="N34" s="29"/>
    </row>
    <row r="35" spans="2:14" s="38" customFormat="1" ht="15">
      <c r="B35" s="453"/>
      <c r="C35" s="421"/>
      <c r="D35" s="472"/>
      <c r="E35" s="423"/>
      <c r="F35" s="424"/>
      <c r="G35" s="424"/>
      <c r="H35" s="291"/>
      <c r="I35" s="69"/>
      <c r="J35" s="418"/>
      <c r="K35" s="36"/>
      <c r="L35" s="37"/>
      <c r="M35" s="29"/>
      <c r="N35" s="29"/>
    </row>
    <row r="36" spans="2:14" s="38" customFormat="1" ht="15">
      <c r="B36" s="557"/>
      <c r="C36" s="578" t="s">
        <v>988</v>
      </c>
      <c r="D36" s="563" t="s">
        <v>749</v>
      </c>
      <c r="E36" s="566"/>
      <c r="F36" s="555">
        <v>40</v>
      </c>
      <c r="G36" s="555">
        <v>14</v>
      </c>
      <c r="H36" s="291">
        <v>9</v>
      </c>
      <c r="I36" s="58" t="s">
        <v>825</v>
      </c>
      <c r="J36" s="418"/>
      <c r="K36" s="36"/>
      <c r="L36" s="37"/>
      <c r="M36" s="29"/>
      <c r="N36" s="29"/>
    </row>
    <row r="37" spans="2:14" s="38" customFormat="1" ht="15">
      <c r="B37" s="559"/>
      <c r="C37" s="580"/>
      <c r="D37" s="565"/>
      <c r="E37" s="550"/>
      <c r="F37" s="556"/>
      <c r="G37" s="556"/>
      <c r="H37" s="291">
        <v>0.09</v>
      </c>
      <c r="I37" s="58" t="s">
        <v>978</v>
      </c>
      <c r="J37" s="418"/>
      <c r="K37" s="36"/>
      <c r="L37" s="37"/>
      <c r="M37" s="29"/>
      <c r="N37" s="29"/>
    </row>
    <row r="38" spans="2:14" s="38" customFormat="1" ht="32.25" customHeight="1">
      <c r="B38" s="25"/>
      <c r="C38" s="33"/>
      <c r="D38" s="118" t="s">
        <v>750</v>
      </c>
      <c r="E38" s="69"/>
      <c r="F38" s="418">
        <v>6</v>
      </c>
      <c r="G38" s="418"/>
      <c r="H38" s="291">
        <v>0</v>
      </c>
      <c r="I38" s="69" t="s">
        <v>824</v>
      </c>
      <c r="J38" s="418"/>
      <c r="K38" s="36"/>
      <c r="L38" s="37"/>
      <c r="M38" s="29"/>
      <c r="N38" s="29"/>
    </row>
    <row r="39" spans="2:14" s="38" customFormat="1" ht="15">
      <c r="B39" s="25"/>
      <c r="C39" s="33"/>
      <c r="D39" s="118"/>
      <c r="E39" s="69"/>
      <c r="F39" s="418"/>
      <c r="G39" s="418"/>
      <c r="H39" s="32"/>
      <c r="I39" s="69"/>
      <c r="J39" s="418"/>
      <c r="K39" s="36"/>
      <c r="L39" s="37"/>
      <c r="M39" s="29"/>
      <c r="N39" s="29"/>
    </row>
    <row r="40" spans="2:14" ht="18.75" customHeight="1">
      <c r="B40" s="25"/>
      <c r="C40" s="33" t="s">
        <v>990</v>
      </c>
      <c r="D40" s="401" t="s">
        <v>751</v>
      </c>
      <c r="E40" s="69"/>
      <c r="F40" s="418">
        <v>100.4</v>
      </c>
      <c r="G40" s="418">
        <v>8.1300000000000008</v>
      </c>
      <c r="H40" s="32"/>
      <c r="I40" s="69"/>
      <c r="J40" s="418"/>
      <c r="K40" s="32"/>
      <c r="L40" s="32"/>
    </row>
    <row r="41" spans="2:14" ht="18" customHeight="1">
      <c r="B41" s="25"/>
      <c r="C41" s="25"/>
      <c r="D41" s="397" t="s">
        <v>752</v>
      </c>
      <c r="E41" s="69"/>
      <c r="F41" s="419">
        <f>SUM(F19:F40)</f>
        <v>6246.8499999999995</v>
      </c>
      <c r="G41" s="419">
        <f>SUM(G19:G40)</f>
        <v>2107.9900000000002</v>
      </c>
      <c r="H41" s="32"/>
      <c r="I41" s="69"/>
      <c r="J41" s="418"/>
      <c r="K41" s="32"/>
      <c r="L41" s="32"/>
    </row>
    <row r="42" spans="2:14" ht="34.5" customHeight="1">
      <c r="B42" s="25"/>
      <c r="C42" s="25"/>
      <c r="D42" s="478" t="s">
        <v>372</v>
      </c>
      <c r="E42" s="69"/>
      <c r="F42" s="418">
        <f>F18+F41</f>
        <v>27269.87</v>
      </c>
      <c r="G42" s="418">
        <v>7559.9600000000009</v>
      </c>
      <c r="H42" s="32"/>
      <c r="I42" s="69"/>
      <c r="J42" s="418"/>
      <c r="K42" s="32"/>
      <c r="L42" s="32"/>
    </row>
    <row r="43" spans="2:14">
      <c r="B43" s="557"/>
      <c r="C43" s="560" t="s">
        <v>991</v>
      </c>
      <c r="D43" s="563" t="s">
        <v>753</v>
      </c>
      <c r="E43" s="566"/>
      <c r="F43" s="555">
        <v>8862.1200000000008</v>
      </c>
      <c r="G43" s="555">
        <v>2408.9899999999998</v>
      </c>
      <c r="H43" s="32">
        <v>64.06</v>
      </c>
      <c r="I43" s="69" t="s">
        <v>977</v>
      </c>
      <c r="J43" s="418"/>
      <c r="K43" s="32"/>
      <c r="L43" s="32"/>
    </row>
    <row r="44" spans="2:14">
      <c r="B44" s="558"/>
      <c r="C44" s="561"/>
      <c r="D44" s="564"/>
      <c r="E44" s="567"/>
      <c r="F44" s="568"/>
      <c r="G44" s="568"/>
      <c r="H44" s="32">
        <v>1907.08</v>
      </c>
      <c r="I44" s="58" t="s">
        <v>825</v>
      </c>
      <c r="J44" s="418"/>
      <c r="K44" s="32"/>
      <c r="L44" s="32"/>
    </row>
    <row r="45" spans="2:14" ht="18.75" customHeight="1">
      <c r="B45" s="558"/>
      <c r="C45" s="561"/>
      <c r="D45" s="564"/>
      <c r="E45" s="567"/>
      <c r="F45" s="568"/>
      <c r="G45" s="568"/>
      <c r="H45" s="32">
        <v>297.58999999999997</v>
      </c>
      <c r="I45" s="58" t="s">
        <v>971</v>
      </c>
      <c r="J45" s="418"/>
      <c r="K45" s="32"/>
      <c r="L45" s="32"/>
    </row>
    <row r="46" spans="2:14">
      <c r="B46" s="558"/>
      <c r="C46" s="561"/>
      <c r="D46" s="564"/>
      <c r="E46" s="567"/>
      <c r="F46" s="568"/>
      <c r="G46" s="568"/>
      <c r="H46" s="32">
        <v>129.29</v>
      </c>
      <c r="I46" s="468" t="s">
        <v>978</v>
      </c>
      <c r="J46" s="418"/>
      <c r="K46" s="32"/>
      <c r="L46" s="32"/>
    </row>
    <row r="47" spans="2:14">
      <c r="B47" s="559"/>
      <c r="C47" s="562"/>
      <c r="D47" s="565"/>
      <c r="E47" s="550"/>
      <c r="F47" s="556"/>
      <c r="G47" s="556"/>
      <c r="H47" s="32">
        <v>10.97</v>
      </c>
      <c r="I47" s="58" t="s">
        <v>972</v>
      </c>
      <c r="J47" s="418"/>
      <c r="K47" s="32"/>
      <c r="L47" s="32"/>
    </row>
    <row r="48" spans="2:14">
      <c r="B48" s="25"/>
      <c r="C48" s="33"/>
      <c r="D48" s="473"/>
      <c r="E48" s="69"/>
      <c r="F48" s="418"/>
      <c r="G48" s="418"/>
      <c r="H48" s="32"/>
      <c r="I48" s="69"/>
      <c r="J48" s="418"/>
      <c r="K48" s="32"/>
      <c r="L48" s="32"/>
    </row>
    <row r="49" spans="2:12" ht="15">
      <c r="B49" s="25"/>
      <c r="C49" s="25"/>
      <c r="D49" s="478" t="s">
        <v>343</v>
      </c>
      <c r="E49" s="69"/>
      <c r="F49" s="419">
        <f>+F43+F44</f>
        <v>8862.1200000000008</v>
      </c>
      <c r="G49" s="419">
        <f>+G43+G44</f>
        <v>2408.9899999999998</v>
      </c>
      <c r="H49" s="32"/>
      <c r="I49" s="69"/>
      <c r="J49" s="418"/>
      <c r="K49" s="32"/>
      <c r="L49" s="32"/>
    </row>
    <row r="50" spans="2:12" ht="36.75" customHeight="1">
      <c r="B50" s="25"/>
      <c r="C50" s="25"/>
      <c r="D50" s="478" t="s">
        <v>992</v>
      </c>
      <c r="E50" s="69"/>
      <c r="F50" s="419">
        <f>+F49+F42</f>
        <v>36131.99</v>
      </c>
      <c r="G50" s="419">
        <f>+G49+G42</f>
        <v>9968.9500000000007</v>
      </c>
      <c r="H50" s="32"/>
      <c r="I50" s="69"/>
      <c r="J50" s="418"/>
      <c r="K50" s="32"/>
      <c r="L50" s="32"/>
    </row>
    <row r="51" spans="2:12">
      <c r="B51" s="25"/>
      <c r="C51" s="25"/>
      <c r="D51" s="401"/>
      <c r="E51" s="69"/>
      <c r="F51" s="418"/>
      <c r="G51" s="291"/>
      <c r="H51" s="32"/>
      <c r="I51" s="69"/>
      <c r="J51" s="418"/>
      <c r="K51" s="32"/>
      <c r="L51" s="32"/>
    </row>
    <row r="52" spans="2:12">
      <c r="B52" s="32"/>
      <c r="C52" s="32" t="s">
        <v>9</v>
      </c>
      <c r="D52" s="43"/>
      <c r="E52" s="69"/>
      <c r="F52" s="32"/>
      <c r="G52" s="32"/>
      <c r="H52" s="175">
        <v>0</v>
      </c>
      <c r="I52" s="69"/>
      <c r="J52" s="32"/>
      <c r="K52" s="32"/>
      <c r="L52" s="32"/>
    </row>
    <row r="53" spans="2:12" ht="15">
      <c r="B53" s="32"/>
      <c r="C53" s="28" t="s">
        <v>78</v>
      </c>
      <c r="D53" s="479"/>
      <c r="E53" s="425"/>
      <c r="F53" s="166">
        <f>F50</f>
        <v>36131.99</v>
      </c>
      <c r="G53" s="166">
        <f>G50</f>
        <v>9968.9500000000007</v>
      </c>
      <c r="H53" s="166">
        <f>SUM(H8:H52)</f>
        <v>9273.5143656000018</v>
      </c>
      <c r="I53" s="69"/>
      <c r="J53" s="32"/>
      <c r="K53" s="32"/>
      <c r="L53" s="32"/>
    </row>
    <row r="54" spans="2:12" ht="64.5" customHeight="1">
      <c r="B54" s="557"/>
      <c r="C54" s="578" t="s">
        <v>954</v>
      </c>
      <c r="D54" s="563" t="s">
        <v>969</v>
      </c>
      <c r="E54" s="566" t="s">
        <v>970</v>
      </c>
      <c r="F54" s="555">
        <v>17249.77</v>
      </c>
      <c r="G54" s="424">
        <v>147.45936301388969</v>
      </c>
      <c r="H54" s="424">
        <v>346.54936301388938</v>
      </c>
      <c r="I54" s="58" t="s">
        <v>825</v>
      </c>
      <c r="J54" s="58"/>
      <c r="K54" s="418"/>
      <c r="L54" s="36"/>
    </row>
    <row r="55" spans="2:12" s="38" customFormat="1" ht="21" customHeight="1">
      <c r="B55" s="558"/>
      <c r="C55" s="579"/>
      <c r="D55" s="564"/>
      <c r="E55" s="567"/>
      <c r="F55" s="568"/>
      <c r="G55" s="443"/>
      <c r="H55" s="443"/>
      <c r="I55" s="58" t="s">
        <v>971</v>
      </c>
      <c r="J55" s="58"/>
      <c r="K55" s="418"/>
      <c r="L55" s="36"/>
    </row>
    <row r="56" spans="2:12" ht="16.5" customHeight="1">
      <c r="B56" s="558"/>
      <c r="C56" s="579"/>
      <c r="D56" s="564"/>
      <c r="E56" s="567"/>
      <c r="F56" s="568"/>
      <c r="G56" s="443"/>
      <c r="H56" s="443"/>
      <c r="I56" s="58" t="s">
        <v>972</v>
      </c>
      <c r="J56" s="58"/>
      <c r="K56" s="418"/>
      <c r="L56" s="36"/>
    </row>
    <row r="57" spans="2:12" ht="27.75" customHeight="1">
      <c r="B57" s="559"/>
      <c r="C57" s="580"/>
      <c r="D57" s="565"/>
      <c r="E57" s="550"/>
      <c r="F57" s="556"/>
      <c r="G57" s="444"/>
      <c r="H57" s="444"/>
      <c r="I57" s="58" t="s">
        <v>973</v>
      </c>
      <c r="J57" s="58"/>
      <c r="K57" s="418"/>
      <c r="L57" s="36"/>
    </row>
    <row r="58" spans="2:12" ht="15.75" customHeight="1">
      <c r="B58" s="557"/>
      <c r="C58" s="560" t="s">
        <v>974</v>
      </c>
      <c r="D58" s="563" t="s">
        <v>975</v>
      </c>
      <c r="E58" s="566" t="s">
        <v>976</v>
      </c>
      <c r="F58" s="555">
        <v>3728.8</v>
      </c>
      <c r="G58" s="424">
        <v>141.17560271480409</v>
      </c>
      <c r="H58" s="534">
        <v>547.06560271480419</v>
      </c>
      <c r="I58" s="69" t="s">
        <v>977</v>
      </c>
      <c r="J58" s="69"/>
      <c r="K58" s="418"/>
      <c r="L58" s="36"/>
    </row>
    <row r="59" spans="2:12" ht="14.25" customHeight="1">
      <c r="B59" s="558"/>
      <c r="C59" s="561"/>
      <c r="D59" s="564"/>
      <c r="E59" s="567"/>
      <c r="F59" s="568"/>
      <c r="G59" s="445"/>
      <c r="H59" s="459"/>
      <c r="I59" s="58" t="s">
        <v>825</v>
      </c>
      <c r="J59" s="58"/>
      <c r="K59" s="418"/>
      <c r="L59" s="36"/>
    </row>
    <row r="60" spans="2:12" ht="14.25" customHeight="1">
      <c r="B60" s="558"/>
      <c r="C60" s="561"/>
      <c r="D60" s="564"/>
      <c r="E60" s="567"/>
      <c r="F60" s="568"/>
      <c r="G60" s="445"/>
      <c r="H60" s="459"/>
      <c r="I60" s="58" t="s">
        <v>971</v>
      </c>
      <c r="J60" s="58"/>
      <c r="K60" s="418"/>
      <c r="L60" s="36"/>
    </row>
    <row r="61" spans="2:12" ht="18" customHeight="1">
      <c r="B61" s="559"/>
      <c r="C61" s="562"/>
      <c r="D61" s="565"/>
      <c r="E61" s="550"/>
      <c r="F61" s="556"/>
      <c r="G61" s="446"/>
      <c r="H61" s="460"/>
      <c r="I61" s="58" t="s">
        <v>978</v>
      </c>
      <c r="J61" s="58"/>
      <c r="K61" s="418"/>
      <c r="L61" s="36"/>
    </row>
    <row r="62" spans="2:12" ht="18" customHeight="1">
      <c r="B62" s="25"/>
      <c r="C62" s="33"/>
      <c r="D62" s="401" t="s">
        <v>744</v>
      </c>
      <c r="E62" s="69"/>
      <c r="F62" s="418">
        <v>44.449999999999989</v>
      </c>
      <c r="G62" s="418"/>
      <c r="H62" s="418"/>
      <c r="I62" s="69"/>
      <c r="J62" s="69"/>
      <c r="K62" s="418"/>
      <c r="L62" s="36"/>
    </row>
    <row r="63" spans="2:12" ht="19.5" customHeight="1">
      <c r="B63" s="25"/>
      <c r="C63" s="93"/>
      <c r="D63" s="397" t="s">
        <v>745</v>
      </c>
      <c r="E63" s="69"/>
      <c r="F63" s="419">
        <f>SUM(F54:F62)</f>
        <v>21023.02</v>
      </c>
      <c r="G63" s="419">
        <f>SUM(G54:G62)</f>
        <v>288.63496572869377</v>
      </c>
      <c r="H63" s="419">
        <f>SUM(H54:H62)</f>
        <v>893.61496572869351</v>
      </c>
      <c r="I63" s="69"/>
      <c r="J63" s="69"/>
      <c r="K63" s="418"/>
      <c r="L63" s="36"/>
    </row>
    <row r="64" spans="2:12" ht="30.75" customHeight="1">
      <c r="B64" s="25"/>
      <c r="C64" s="33" t="s">
        <v>979</v>
      </c>
      <c r="D64" s="401" t="s">
        <v>746</v>
      </c>
      <c r="E64" s="69"/>
      <c r="F64" s="418">
        <v>70.670000000000016</v>
      </c>
      <c r="G64" s="418">
        <v>8.4959701999998097E-2</v>
      </c>
      <c r="H64" s="418">
        <v>11.004959701999997</v>
      </c>
      <c r="I64" s="69"/>
      <c r="J64" s="69"/>
      <c r="K64" s="418"/>
      <c r="L64" s="36"/>
    </row>
    <row r="65" spans="1:77" ht="19.5" customHeight="1">
      <c r="B65" s="25"/>
      <c r="C65" s="33"/>
      <c r="D65" s="118" t="s">
        <v>400</v>
      </c>
      <c r="E65" s="69"/>
      <c r="F65" s="418">
        <v>528.14</v>
      </c>
      <c r="G65" s="418">
        <v>0</v>
      </c>
      <c r="H65" s="418"/>
      <c r="I65" s="69" t="s">
        <v>132</v>
      </c>
      <c r="J65" s="69"/>
      <c r="K65" s="418"/>
      <c r="L65" s="36"/>
    </row>
    <row r="66" spans="1:77" ht="13.9" customHeight="1">
      <c r="B66" s="557"/>
      <c r="C66" s="560" t="s">
        <v>980</v>
      </c>
      <c r="D66" s="572" t="s">
        <v>981</v>
      </c>
      <c r="E66" s="566"/>
      <c r="F66" s="575">
        <v>3821.42</v>
      </c>
      <c r="G66" s="569">
        <v>0</v>
      </c>
      <c r="H66" s="535">
        <v>56.69</v>
      </c>
      <c r="I66" s="69" t="s">
        <v>977</v>
      </c>
      <c r="J66" s="69"/>
      <c r="K66" s="418"/>
      <c r="L66" s="36"/>
    </row>
    <row r="67" spans="1:77" ht="13.9" customHeight="1">
      <c r="B67" s="558"/>
      <c r="C67" s="561"/>
      <c r="D67" s="573"/>
      <c r="E67" s="567"/>
      <c r="F67" s="576"/>
      <c r="G67" s="570"/>
      <c r="H67" s="457"/>
      <c r="I67" s="58" t="s">
        <v>825</v>
      </c>
      <c r="J67" s="58"/>
      <c r="K67" s="418"/>
      <c r="L67" s="36"/>
    </row>
    <row r="68" spans="1:77" ht="13.9" customHeight="1">
      <c r="B68" s="558"/>
      <c r="C68" s="561"/>
      <c r="D68" s="573"/>
      <c r="E68" s="567"/>
      <c r="F68" s="576"/>
      <c r="G68" s="570"/>
      <c r="H68" s="457"/>
      <c r="I68" s="58" t="s">
        <v>971</v>
      </c>
      <c r="J68" s="58"/>
      <c r="K68" s="418"/>
      <c r="L68" s="36"/>
    </row>
    <row r="69" spans="1:77" ht="13.9" customHeight="1">
      <c r="B69" s="558"/>
      <c r="C69" s="561"/>
      <c r="D69" s="573"/>
      <c r="E69" s="567"/>
      <c r="F69" s="576"/>
      <c r="G69" s="570"/>
      <c r="H69" s="457"/>
      <c r="I69" s="58" t="s">
        <v>978</v>
      </c>
      <c r="J69" s="58"/>
      <c r="K69" s="418"/>
      <c r="L69" s="36"/>
    </row>
    <row r="70" spans="1:77" ht="13.9" customHeight="1">
      <c r="B70" s="559"/>
      <c r="C70" s="561"/>
      <c r="D70" s="574"/>
      <c r="E70" s="550"/>
      <c r="F70" s="577"/>
      <c r="G70" s="571"/>
      <c r="H70" s="458"/>
      <c r="I70" s="58" t="s">
        <v>827</v>
      </c>
      <c r="J70" s="58"/>
      <c r="K70" s="418"/>
      <c r="L70" s="36"/>
    </row>
    <row r="71" spans="1:77" ht="13.9" customHeight="1">
      <c r="B71" s="55"/>
      <c r="C71" s="561"/>
      <c r="D71" s="477"/>
      <c r="E71" s="374"/>
      <c r="F71" s="456"/>
      <c r="G71" s="456"/>
      <c r="H71" s="456"/>
      <c r="I71" s="58" t="s">
        <v>982</v>
      </c>
      <c r="J71" s="58"/>
      <c r="K71" s="418"/>
      <c r="L71" s="36"/>
    </row>
    <row r="72" spans="1:77" ht="56.25" customHeight="1">
      <c r="B72" s="55"/>
      <c r="C72" s="561"/>
      <c r="D72" s="477"/>
      <c r="E72" s="374"/>
      <c r="F72" s="456"/>
      <c r="G72" s="456"/>
      <c r="H72" s="456"/>
      <c r="I72" s="58" t="s">
        <v>983</v>
      </c>
      <c r="J72" s="58"/>
      <c r="K72" s="418"/>
      <c r="L72" s="36"/>
    </row>
    <row r="73" spans="1:77" ht="15.75" customHeight="1">
      <c r="B73" s="55"/>
      <c r="C73" s="562"/>
      <c r="D73" s="477"/>
      <c r="E73" s="374"/>
      <c r="F73" s="456"/>
      <c r="G73" s="456"/>
      <c r="H73" s="456"/>
      <c r="I73" s="58" t="s">
        <v>984</v>
      </c>
      <c r="J73" s="58"/>
      <c r="K73" s="418"/>
      <c r="L73" s="36"/>
    </row>
    <row r="74" spans="1:77" ht="15">
      <c r="B74" s="25"/>
      <c r="C74" s="33" t="s">
        <v>985</v>
      </c>
      <c r="D74" s="118" t="s">
        <v>747</v>
      </c>
      <c r="E74" s="69"/>
      <c r="F74" s="418">
        <v>96.14</v>
      </c>
      <c r="G74" s="418">
        <v>1.0286575101800046</v>
      </c>
      <c r="H74" s="418">
        <v>1.0286575101800046</v>
      </c>
      <c r="I74" s="69" t="s">
        <v>977</v>
      </c>
      <c r="J74" s="69"/>
      <c r="K74" s="418"/>
      <c r="L74" s="36"/>
    </row>
    <row r="75" spans="1:77" s="32" customFormat="1" ht="15.75" customHeight="1">
      <c r="A75" s="447"/>
      <c r="B75" s="557"/>
      <c r="C75" s="560" t="s">
        <v>986</v>
      </c>
      <c r="D75" s="563" t="s">
        <v>987</v>
      </c>
      <c r="E75" s="566"/>
      <c r="F75" s="555">
        <v>884.08</v>
      </c>
      <c r="G75" s="424">
        <v>3.070247758400011</v>
      </c>
      <c r="H75" s="469">
        <v>12.88</v>
      </c>
      <c r="I75" s="69" t="s">
        <v>977</v>
      </c>
      <c r="J75" s="69"/>
      <c r="K75" s="418"/>
      <c r="L75" s="36"/>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row>
    <row r="76" spans="1:77" ht="15">
      <c r="B76" s="558"/>
      <c r="C76" s="561"/>
      <c r="D76" s="564"/>
      <c r="E76" s="567"/>
      <c r="F76" s="568"/>
      <c r="G76" s="443"/>
      <c r="H76" s="451"/>
      <c r="I76" s="58" t="s">
        <v>825</v>
      </c>
      <c r="J76" s="58"/>
      <c r="K76" s="418"/>
      <c r="L76" s="36"/>
    </row>
    <row r="77" spans="1:77" ht="15">
      <c r="B77" s="558"/>
      <c r="C77" s="561"/>
      <c r="D77" s="564"/>
      <c r="E77" s="567"/>
      <c r="F77" s="568"/>
      <c r="G77" s="443"/>
      <c r="H77" s="451"/>
      <c r="I77" s="58" t="s">
        <v>971</v>
      </c>
      <c r="J77" s="58"/>
      <c r="K77" s="418"/>
      <c r="L77" s="36"/>
    </row>
    <row r="78" spans="1:77" ht="15">
      <c r="B78" s="558"/>
      <c r="C78" s="561"/>
      <c r="D78" s="564"/>
      <c r="E78" s="567"/>
      <c r="F78" s="568"/>
      <c r="G78" s="443"/>
      <c r="H78" s="451"/>
      <c r="I78" s="58" t="s">
        <v>978</v>
      </c>
      <c r="J78" s="58"/>
      <c r="K78" s="418"/>
      <c r="L78" s="36"/>
    </row>
    <row r="79" spans="1:77" ht="15">
      <c r="B79" s="559"/>
      <c r="C79" s="562"/>
      <c r="D79" s="565"/>
      <c r="E79" s="550"/>
      <c r="F79" s="556"/>
      <c r="G79" s="444"/>
      <c r="H79" s="452"/>
      <c r="I79" s="58" t="s">
        <v>972</v>
      </c>
      <c r="J79" s="58"/>
      <c r="K79" s="418"/>
      <c r="L79" s="36"/>
    </row>
    <row r="80" spans="1:77" ht="15">
      <c r="B80" s="557"/>
      <c r="C80" s="560" t="s">
        <v>988</v>
      </c>
      <c r="D80" s="563" t="s">
        <v>749</v>
      </c>
      <c r="E80" s="566"/>
      <c r="F80" s="555">
        <v>40</v>
      </c>
      <c r="G80" s="555">
        <v>1.1716505902200014</v>
      </c>
      <c r="H80" s="450">
        <v>6.0816505902200015</v>
      </c>
      <c r="I80" s="58" t="s">
        <v>825</v>
      </c>
      <c r="J80" s="58"/>
      <c r="K80" s="418"/>
      <c r="L80" s="36"/>
    </row>
    <row r="81" spans="2:12" ht="15">
      <c r="B81" s="559"/>
      <c r="C81" s="562"/>
      <c r="D81" s="565"/>
      <c r="E81" s="550"/>
      <c r="F81" s="556"/>
      <c r="G81" s="556"/>
      <c r="H81" s="452"/>
      <c r="I81" s="58" t="s">
        <v>978</v>
      </c>
      <c r="J81" s="58"/>
      <c r="K81" s="418"/>
      <c r="L81" s="36"/>
    </row>
    <row r="82" spans="2:12" ht="28.5">
      <c r="B82" s="25"/>
      <c r="C82" s="33"/>
      <c r="D82" s="118" t="s">
        <v>750</v>
      </c>
      <c r="E82" s="69"/>
      <c r="F82" s="418">
        <v>6</v>
      </c>
      <c r="G82" s="418"/>
      <c r="H82" s="418"/>
      <c r="I82" s="69" t="s">
        <v>824</v>
      </c>
      <c r="J82" s="69"/>
      <c r="K82" s="418"/>
      <c r="L82" s="36"/>
    </row>
    <row r="83" spans="2:12" ht="15">
      <c r="B83" s="25"/>
      <c r="C83" s="33" t="s">
        <v>989</v>
      </c>
      <c r="D83" s="118" t="s">
        <v>304</v>
      </c>
      <c r="E83" s="69"/>
      <c r="F83" s="418">
        <v>700</v>
      </c>
      <c r="G83" s="418">
        <v>0</v>
      </c>
      <c r="H83" s="418">
        <v>0</v>
      </c>
      <c r="I83" s="69"/>
      <c r="J83" s="69"/>
      <c r="K83" s="418"/>
      <c r="L83" s="36"/>
    </row>
    <row r="84" spans="2:12">
      <c r="B84" s="25"/>
      <c r="C84" s="33" t="s">
        <v>990</v>
      </c>
      <c r="D84" s="401" t="s">
        <v>751</v>
      </c>
      <c r="E84" s="69"/>
      <c r="F84" s="418">
        <v>100.4</v>
      </c>
      <c r="G84" s="418">
        <v>0.62203633499999944</v>
      </c>
      <c r="H84" s="418">
        <v>8.7520363349999997</v>
      </c>
      <c r="I84" s="69"/>
      <c r="J84" s="69"/>
      <c r="K84" s="418"/>
      <c r="L84" s="32"/>
    </row>
    <row r="85" spans="2:12" ht="15">
      <c r="B85" s="25"/>
      <c r="C85" s="25"/>
      <c r="D85" s="397" t="s">
        <v>752</v>
      </c>
      <c r="E85" s="69"/>
      <c r="F85" s="419">
        <f>SUM(F64:F84)</f>
        <v>6246.8499999999995</v>
      </c>
      <c r="G85" s="419">
        <f>SUM(G64:G84)</f>
        <v>5.9775518958000147</v>
      </c>
      <c r="H85" s="419">
        <f>SUM(H64:H84)</f>
        <v>96.437304137400005</v>
      </c>
      <c r="I85" s="69"/>
      <c r="J85" s="69"/>
      <c r="K85" s="418"/>
      <c r="L85" s="32"/>
    </row>
    <row r="86" spans="2:12" ht="37.5" customHeight="1">
      <c r="B86" s="25"/>
      <c r="C86" s="25"/>
      <c r="D86" s="478" t="s">
        <v>372</v>
      </c>
      <c r="E86" s="69"/>
      <c r="F86" s="418">
        <v>27269.87</v>
      </c>
      <c r="G86" s="418">
        <v>294.61251762449376</v>
      </c>
      <c r="H86" s="418">
        <v>990.05226986609352</v>
      </c>
      <c r="I86" s="69"/>
      <c r="J86" s="69"/>
      <c r="K86" s="418"/>
      <c r="L86" s="32"/>
    </row>
    <row r="87" spans="2:12" ht="15" customHeight="1">
      <c r="B87" s="557"/>
      <c r="C87" s="560" t="s">
        <v>991</v>
      </c>
      <c r="D87" s="563" t="s">
        <v>753</v>
      </c>
      <c r="E87" s="566"/>
      <c r="F87" s="555">
        <v>8862.1200000000008</v>
      </c>
      <c r="G87" s="555">
        <v>0</v>
      </c>
      <c r="H87" s="450"/>
      <c r="I87" s="69" t="s">
        <v>977</v>
      </c>
      <c r="J87" s="69"/>
      <c r="K87" s="418"/>
      <c r="L87" s="32"/>
    </row>
    <row r="88" spans="2:12">
      <c r="B88" s="558"/>
      <c r="C88" s="561"/>
      <c r="D88" s="564"/>
      <c r="E88" s="567"/>
      <c r="F88" s="568"/>
      <c r="G88" s="568"/>
      <c r="H88" s="451"/>
      <c r="I88" s="58" t="s">
        <v>825</v>
      </c>
      <c r="J88" s="58"/>
      <c r="K88" s="418"/>
      <c r="L88" s="32"/>
    </row>
    <row r="89" spans="2:12">
      <c r="B89" s="558"/>
      <c r="C89" s="561"/>
      <c r="D89" s="564"/>
      <c r="E89" s="567"/>
      <c r="F89" s="568"/>
      <c r="G89" s="568"/>
      <c r="H89" s="451"/>
      <c r="I89" s="58" t="s">
        <v>971</v>
      </c>
      <c r="J89" s="58"/>
      <c r="K89" s="418"/>
      <c r="L89" s="32"/>
    </row>
    <row r="90" spans="2:12" ht="20.25" customHeight="1">
      <c r="B90" s="558"/>
      <c r="C90" s="561"/>
      <c r="D90" s="564"/>
      <c r="E90" s="567"/>
      <c r="F90" s="568"/>
      <c r="G90" s="568"/>
      <c r="H90" s="451"/>
      <c r="I90" s="58" t="s">
        <v>978</v>
      </c>
      <c r="J90" s="58"/>
      <c r="K90" s="418"/>
      <c r="L90" s="32"/>
    </row>
    <row r="91" spans="2:12" ht="36" customHeight="1">
      <c r="B91" s="559"/>
      <c r="C91" s="562"/>
      <c r="D91" s="565"/>
      <c r="E91" s="550"/>
      <c r="F91" s="556"/>
      <c r="G91" s="556"/>
      <c r="H91" s="452"/>
      <c r="I91" s="58" t="s">
        <v>972</v>
      </c>
      <c r="J91" s="58"/>
      <c r="K91" s="418"/>
      <c r="L91" s="32"/>
    </row>
    <row r="92" spans="2:12" ht="19.5" customHeight="1">
      <c r="B92" s="25"/>
      <c r="C92" s="25"/>
      <c r="D92" s="478" t="s">
        <v>343</v>
      </c>
      <c r="E92" s="69"/>
      <c r="F92" s="419">
        <f>+F87+F88</f>
        <v>8862.1200000000008</v>
      </c>
      <c r="G92" s="419">
        <f>+G87+G88</f>
        <v>0</v>
      </c>
      <c r="H92" s="419"/>
      <c r="I92" s="69"/>
      <c r="J92" s="69"/>
      <c r="K92" s="418"/>
      <c r="L92" s="32"/>
    </row>
    <row r="93" spans="2:12" ht="30">
      <c r="B93" s="25"/>
      <c r="C93" s="25"/>
      <c r="D93" s="478" t="s">
        <v>992</v>
      </c>
      <c r="E93" s="69"/>
      <c r="F93" s="419">
        <f>+F92+F86</f>
        <v>36131.99</v>
      </c>
      <c r="G93" s="419">
        <f>+G92+G86</f>
        <v>294.61251762449376</v>
      </c>
      <c r="H93" s="419">
        <f>+H92+H86</f>
        <v>990.05226986609352</v>
      </c>
      <c r="I93" s="69"/>
      <c r="J93" s="69"/>
      <c r="K93" s="418"/>
      <c r="L93" s="32"/>
    </row>
    <row r="94" spans="2:12" ht="22.5" customHeight="1">
      <c r="B94" s="32"/>
      <c r="C94" s="28" t="s">
        <v>78</v>
      </c>
      <c r="D94" s="479"/>
      <c r="E94" s="425"/>
      <c r="F94" s="166">
        <f>F93</f>
        <v>36131.99</v>
      </c>
      <c r="G94" s="166">
        <f>G93</f>
        <v>294.61251762449376</v>
      </c>
      <c r="H94" s="166">
        <f>H93</f>
        <v>990.05226986609352</v>
      </c>
      <c r="I94" s="69"/>
      <c r="J94" s="69"/>
      <c r="K94" s="32"/>
      <c r="L94" s="32"/>
    </row>
    <row r="95" spans="2:12" ht="21.75" customHeight="1">
      <c r="B95" s="56" t="s">
        <v>434</v>
      </c>
      <c r="C95" s="50" t="s">
        <v>435</v>
      </c>
      <c r="I95" s="5"/>
      <c r="J95" s="105"/>
    </row>
    <row r="96" spans="2:12">
      <c r="G96" s="124"/>
      <c r="H96" s="124"/>
      <c r="I96" s="448"/>
    </row>
  </sheetData>
  <mergeCells count="72">
    <mergeCell ref="B2:L2"/>
    <mergeCell ref="B3:L3"/>
    <mergeCell ref="B4:L4"/>
    <mergeCell ref="B8:B11"/>
    <mergeCell ref="C8:C11"/>
    <mergeCell ref="D8:D11"/>
    <mergeCell ref="E8:E11"/>
    <mergeCell ref="F8:F11"/>
    <mergeCell ref="G8:G11"/>
    <mergeCell ref="G13:G16"/>
    <mergeCell ref="B21:B25"/>
    <mergeCell ref="C21:C25"/>
    <mergeCell ref="D21:D25"/>
    <mergeCell ref="E21:E25"/>
    <mergeCell ref="F21:F25"/>
    <mergeCell ref="G21:G25"/>
    <mergeCell ref="B13:B16"/>
    <mergeCell ref="C13:C16"/>
    <mergeCell ref="D13:D16"/>
    <mergeCell ref="E13:E16"/>
    <mergeCell ref="F13:F16"/>
    <mergeCell ref="G30:G34"/>
    <mergeCell ref="B36:B37"/>
    <mergeCell ref="C36:C37"/>
    <mergeCell ref="D36:D37"/>
    <mergeCell ref="E36:E37"/>
    <mergeCell ref="F36:F37"/>
    <mergeCell ref="G36:G37"/>
    <mergeCell ref="B30:B34"/>
    <mergeCell ref="C30:C34"/>
    <mergeCell ref="D30:D34"/>
    <mergeCell ref="E30:E34"/>
    <mergeCell ref="F30:F34"/>
    <mergeCell ref="G43:G47"/>
    <mergeCell ref="B43:B47"/>
    <mergeCell ref="C43:C47"/>
    <mergeCell ref="D43:D47"/>
    <mergeCell ref="E43:E47"/>
    <mergeCell ref="F43:F47"/>
    <mergeCell ref="B54:B57"/>
    <mergeCell ref="C54:C57"/>
    <mergeCell ref="D54:D57"/>
    <mergeCell ref="E54:E57"/>
    <mergeCell ref="F54:F57"/>
    <mergeCell ref="B58:B61"/>
    <mergeCell ref="C58:C61"/>
    <mergeCell ref="D58:D61"/>
    <mergeCell ref="E58:E61"/>
    <mergeCell ref="F58:F61"/>
    <mergeCell ref="G66:G70"/>
    <mergeCell ref="B75:B79"/>
    <mergeCell ref="C75:C79"/>
    <mergeCell ref="D75:D79"/>
    <mergeCell ref="E75:E79"/>
    <mergeCell ref="B66:B70"/>
    <mergeCell ref="C66:C73"/>
    <mergeCell ref="D66:D70"/>
    <mergeCell ref="E66:E70"/>
    <mergeCell ref="F66:F70"/>
    <mergeCell ref="F75:F79"/>
    <mergeCell ref="G80:G81"/>
    <mergeCell ref="B87:B91"/>
    <mergeCell ref="C87:C91"/>
    <mergeCell ref="D87:D91"/>
    <mergeCell ref="E87:E91"/>
    <mergeCell ref="F87:F91"/>
    <mergeCell ref="G87:G91"/>
    <mergeCell ref="B80:B81"/>
    <mergeCell ref="C80:C81"/>
    <mergeCell ref="D80:D81"/>
    <mergeCell ref="E80:E81"/>
    <mergeCell ref="F80:F81"/>
  </mergeCells>
  <pageMargins left="0.27" right="0.25" top="0.25" bottom="0.25" header="0.25" footer="0.25"/>
  <pageSetup paperSize="9" scale="67" fitToHeight="0" orientation="landscape" r:id="rId1"/>
  <headerFooter alignWithMargins="0"/>
  <rowBreaks count="2" manualBreakCount="2">
    <brk id="42" min="1" max="11" man="1"/>
    <brk id="85" min="1" max="11" man="1"/>
  </rowBreaks>
</worksheet>
</file>

<file path=xl/worksheets/sheet7.xml><?xml version="1.0" encoding="utf-8"?>
<worksheet xmlns="http://schemas.openxmlformats.org/spreadsheetml/2006/main" xmlns:r="http://schemas.openxmlformats.org/officeDocument/2006/relationships">
  <dimension ref="B2:H20"/>
  <sheetViews>
    <sheetView showGridLines="0" workbookViewId="0">
      <selection activeCell="L24" sqref="L24"/>
    </sheetView>
  </sheetViews>
  <sheetFormatPr defaultColWidth="9.28515625" defaultRowHeight="14.25"/>
  <cols>
    <col min="1" max="2" width="9.28515625" style="88"/>
    <col min="3" max="3" width="42" style="88" customWidth="1"/>
    <col min="4" max="4" width="16.28515625" style="88" customWidth="1"/>
    <col min="5" max="5" width="12.5703125" style="88" customWidth="1"/>
    <col min="6" max="6" width="16.28515625" style="88" customWidth="1"/>
    <col min="7" max="8" width="15.7109375" style="88" customWidth="1"/>
    <col min="9" max="16384" width="9.28515625" style="88"/>
  </cols>
  <sheetData>
    <row r="2" spans="2:8" ht="14.25" customHeight="1">
      <c r="B2" s="553" t="s">
        <v>678</v>
      </c>
      <c r="C2" s="553"/>
      <c r="D2" s="553"/>
      <c r="E2" s="553"/>
      <c r="F2" s="553"/>
      <c r="G2" s="553"/>
      <c r="H2" s="553"/>
    </row>
    <row r="3" spans="2:8" ht="14.25" customHeight="1">
      <c r="B3" s="553" t="s">
        <v>948</v>
      </c>
      <c r="C3" s="553"/>
      <c r="D3" s="553"/>
      <c r="E3" s="553"/>
      <c r="F3" s="553"/>
      <c r="G3" s="553"/>
      <c r="H3" s="553"/>
    </row>
    <row r="4" spans="2:8" ht="14.25" customHeight="1">
      <c r="B4" s="554" t="s">
        <v>1101</v>
      </c>
      <c r="C4" s="554"/>
      <c r="D4" s="554"/>
      <c r="E4" s="554"/>
      <c r="F4" s="554"/>
      <c r="G4" s="554"/>
      <c r="H4" s="554"/>
    </row>
    <row r="5" spans="2:8" ht="15">
      <c r="H5" s="31" t="s">
        <v>4</v>
      </c>
    </row>
    <row r="6" spans="2:8" ht="15">
      <c r="B6" s="20" t="s">
        <v>360</v>
      </c>
      <c r="C6" s="28" t="s">
        <v>14</v>
      </c>
      <c r="D6" s="20" t="s">
        <v>668</v>
      </c>
      <c r="E6" s="20" t="s">
        <v>669</v>
      </c>
      <c r="F6" s="20" t="s">
        <v>670</v>
      </c>
      <c r="G6" s="20" t="s">
        <v>671</v>
      </c>
      <c r="H6" s="20" t="s">
        <v>672</v>
      </c>
    </row>
    <row r="7" spans="2:8" ht="15">
      <c r="B7" s="20"/>
      <c r="C7" s="28"/>
      <c r="D7" s="91"/>
      <c r="E7" s="20" t="s">
        <v>5</v>
      </c>
      <c r="F7" s="20" t="s">
        <v>8</v>
      </c>
      <c r="G7" s="20" t="s">
        <v>8</v>
      </c>
      <c r="H7" s="20" t="s">
        <v>8</v>
      </c>
    </row>
    <row r="8" spans="2:8" ht="15">
      <c r="B8" s="92">
        <v>1</v>
      </c>
      <c r="C8" s="33" t="s">
        <v>486</v>
      </c>
      <c r="D8" s="159">
        <f>'F3'!D12</f>
        <v>9273.5143656000018</v>
      </c>
      <c r="E8" s="159">
        <f>'F3'!E12</f>
        <v>990.04815202449265</v>
      </c>
      <c r="F8" s="159">
        <v>0</v>
      </c>
      <c r="G8" s="159">
        <f>F3.1!H35</f>
        <v>0</v>
      </c>
      <c r="H8" s="159">
        <f>F3.1!H41</f>
        <v>0</v>
      </c>
    </row>
    <row r="9" spans="2:8">
      <c r="B9" s="33"/>
      <c r="C9" s="33"/>
      <c r="D9" s="101"/>
      <c r="E9" s="101"/>
      <c r="F9" s="101"/>
      <c r="G9" s="101"/>
      <c r="H9" s="101"/>
    </row>
    <row r="10" spans="2:8" ht="15">
      <c r="B10" s="92">
        <v>2</v>
      </c>
      <c r="C10" s="93" t="s">
        <v>341</v>
      </c>
      <c r="D10" s="101"/>
      <c r="E10" s="101"/>
      <c r="F10" s="101"/>
      <c r="G10" s="101"/>
      <c r="H10" s="101"/>
    </row>
    <row r="11" spans="2:8">
      <c r="B11" s="33"/>
      <c r="C11" s="33" t="s">
        <v>1100</v>
      </c>
      <c r="D11" s="101">
        <f>D8*0.75</f>
        <v>6955.1357742000018</v>
      </c>
      <c r="E11" s="101">
        <f>E8*0.75</f>
        <v>742.53611401836952</v>
      </c>
      <c r="F11" s="101"/>
      <c r="G11" s="101"/>
      <c r="H11" s="101"/>
    </row>
    <row r="12" spans="2:8">
      <c r="B12" s="33"/>
      <c r="C12" s="33" t="s">
        <v>359</v>
      </c>
      <c r="D12" s="101"/>
      <c r="E12" s="101"/>
      <c r="F12" s="101"/>
      <c r="G12" s="101"/>
      <c r="H12" s="101"/>
    </row>
    <row r="13" spans="2:8">
      <c r="B13" s="33"/>
      <c r="C13" s="33" t="s">
        <v>9</v>
      </c>
      <c r="D13" s="101"/>
      <c r="E13" s="101"/>
      <c r="F13" s="101"/>
      <c r="G13" s="101"/>
      <c r="H13" s="101"/>
    </row>
    <row r="14" spans="2:8" ht="15">
      <c r="B14" s="33"/>
      <c r="C14" s="93" t="s">
        <v>327</v>
      </c>
      <c r="D14" s="159">
        <f>D8*0.75</f>
        <v>6955.1357742000018</v>
      </c>
      <c r="E14" s="159">
        <f t="shared" ref="E14:H14" si="0">E8*0.75</f>
        <v>742.53611401836952</v>
      </c>
      <c r="F14" s="159">
        <f t="shared" si="0"/>
        <v>0</v>
      </c>
      <c r="G14" s="159">
        <f t="shared" si="0"/>
        <v>0</v>
      </c>
      <c r="H14" s="159">
        <f t="shared" si="0"/>
        <v>0</v>
      </c>
    </row>
    <row r="15" spans="2:8">
      <c r="B15" s="33"/>
      <c r="C15" s="33"/>
      <c r="D15" s="101"/>
      <c r="E15" s="101"/>
      <c r="F15" s="101"/>
      <c r="G15" s="101"/>
      <c r="H15" s="101"/>
    </row>
    <row r="16" spans="2:8">
      <c r="B16" s="92">
        <v>3</v>
      </c>
      <c r="C16" s="33" t="s">
        <v>0</v>
      </c>
      <c r="D16" s="101">
        <f>D8*0.25</f>
        <v>2318.3785914000005</v>
      </c>
      <c r="E16" s="101">
        <f t="shared" ref="E16:G16" si="1">E8*0.25</f>
        <v>247.51203800612316</v>
      </c>
      <c r="F16" s="101">
        <f t="shared" si="1"/>
        <v>0</v>
      </c>
      <c r="G16" s="101">
        <f t="shared" si="1"/>
        <v>0</v>
      </c>
      <c r="H16" s="101">
        <f>H8*0.25</f>
        <v>0</v>
      </c>
    </row>
    <row r="17" spans="2:8">
      <c r="B17" s="92">
        <v>4</v>
      </c>
      <c r="C17" s="33" t="s">
        <v>342</v>
      </c>
      <c r="D17" s="101"/>
      <c r="E17" s="101"/>
      <c r="F17" s="101"/>
      <c r="G17" s="101"/>
      <c r="H17" s="101"/>
    </row>
    <row r="18" spans="2:8">
      <c r="B18" s="92">
        <v>5</v>
      </c>
      <c r="C18" s="33" t="s">
        <v>487</v>
      </c>
      <c r="D18" s="101"/>
      <c r="E18" s="101"/>
      <c r="F18" s="101"/>
      <c r="G18" s="101"/>
      <c r="H18" s="101"/>
    </row>
    <row r="19" spans="2:8" ht="15">
      <c r="B19" s="33"/>
      <c r="C19" s="33"/>
      <c r="D19" s="104"/>
      <c r="E19" s="104"/>
      <c r="F19" s="104"/>
      <c r="G19" s="104"/>
      <c r="H19" s="104"/>
    </row>
    <row r="20" spans="2:8" ht="15">
      <c r="B20" s="92">
        <v>6</v>
      </c>
      <c r="C20" s="93" t="s">
        <v>488</v>
      </c>
      <c r="D20" s="159">
        <f>D14+D16+D17+D18</f>
        <v>9273.5143656000018</v>
      </c>
      <c r="E20" s="159">
        <f t="shared" ref="E20:H20" si="2">E14+E16+E17+E18</f>
        <v>990.04815202449265</v>
      </c>
      <c r="F20" s="159">
        <f t="shared" si="2"/>
        <v>0</v>
      </c>
      <c r="G20" s="159">
        <f t="shared" si="2"/>
        <v>0</v>
      </c>
      <c r="H20" s="159">
        <f t="shared" si="2"/>
        <v>0</v>
      </c>
    </row>
  </sheetData>
  <mergeCells count="3">
    <mergeCell ref="B2:H2"/>
    <mergeCell ref="B3:H3"/>
    <mergeCell ref="B4:H4"/>
  </mergeCells>
  <pageMargins left="0.2" right="0.2"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B1:O66"/>
  <sheetViews>
    <sheetView showGridLines="0" view="pageBreakPreview" topLeftCell="C1" zoomScale="80" zoomScaleNormal="86" zoomScaleSheetLayoutView="80" workbookViewId="0">
      <selection activeCell="L24" sqref="L24"/>
    </sheetView>
  </sheetViews>
  <sheetFormatPr defaultColWidth="9.28515625" defaultRowHeight="14.25"/>
  <cols>
    <col min="1" max="1" width="4.28515625" style="5" customWidth="1"/>
    <col min="2" max="2" width="9.28515625" style="5"/>
    <col min="3" max="3" width="23.42578125" style="5" customWidth="1"/>
    <col min="4" max="4" width="12.42578125" style="5" customWidth="1"/>
    <col min="5" max="5" width="14.42578125" style="5" customWidth="1"/>
    <col min="6" max="6" width="17.42578125" style="5" customWidth="1"/>
    <col min="7" max="7" width="13.42578125" style="5" customWidth="1"/>
    <col min="8" max="8" width="15.85546875" style="5" customWidth="1"/>
    <col min="9" max="9" width="14.85546875" style="5" customWidth="1"/>
    <col min="10" max="10" width="18.85546875" style="5" customWidth="1"/>
    <col min="11" max="11" width="13.85546875" style="5" customWidth="1"/>
    <col min="12" max="12" width="14.28515625" style="5" customWidth="1"/>
    <col min="13" max="13" width="17.5703125" style="5" customWidth="1"/>
    <col min="14" max="14" width="17" style="5" customWidth="1"/>
    <col min="15" max="15" width="15" style="5" customWidth="1"/>
    <col min="16" max="16384" width="9.28515625" style="5"/>
  </cols>
  <sheetData>
    <row r="1" spans="2:15" ht="15">
      <c r="B1" s="29"/>
    </row>
    <row r="2" spans="2:15" ht="15">
      <c r="H2" s="39" t="s">
        <v>678</v>
      </c>
      <c r="I2" s="39"/>
    </row>
    <row r="3" spans="2:15" ht="15">
      <c r="H3" s="39" t="s">
        <v>948</v>
      </c>
      <c r="I3" s="39"/>
    </row>
    <row r="4" spans="2:15" ht="15">
      <c r="H4" s="41" t="s">
        <v>455</v>
      </c>
      <c r="I4" s="41"/>
    </row>
    <row r="5" spans="2:15" ht="15.75" thickBot="1">
      <c r="K5" s="41"/>
      <c r="O5" s="38" t="s">
        <v>4</v>
      </c>
    </row>
    <row r="6" spans="2:15" ht="15">
      <c r="B6" s="581" t="s">
        <v>668</v>
      </c>
      <c r="C6" s="582"/>
      <c r="D6" s="582"/>
      <c r="E6" s="582"/>
      <c r="F6" s="582"/>
      <c r="G6" s="582"/>
      <c r="H6" s="582"/>
      <c r="I6" s="582"/>
      <c r="J6" s="582"/>
      <c r="K6" s="582"/>
      <c r="L6" s="582"/>
      <c r="M6" s="582"/>
      <c r="N6" s="582"/>
      <c r="O6" s="583"/>
    </row>
    <row r="7" spans="2:15" ht="14.25" customHeight="1">
      <c r="B7" s="586" t="s">
        <v>2</v>
      </c>
      <c r="C7" s="588" t="s">
        <v>450</v>
      </c>
      <c r="D7" s="584" t="s">
        <v>438</v>
      </c>
      <c r="E7" s="584" t="s">
        <v>439</v>
      </c>
      <c r="F7" s="584" t="s">
        <v>440</v>
      </c>
      <c r="G7" s="584"/>
      <c r="H7" s="584"/>
      <c r="I7" s="584"/>
      <c r="J7" s="584" t="s">
        <v>441</v>
      </c>
      <c r="K7" s="584"/>
      <c r="L7" s="584"/>
      <c r="M7" s="584"/>
      <c r="N7" s="584" t="s">
        <v>442</v>
      </c>
      <c r="O7" s="585"/>
    </row>
    <row r="8" spans="2:15" ht="45">
      <c r="B8" s="587"/>
      <c r="C8" s="589"/>
      <c r="D8" s="590"/>
      <c r="E8" s="590"/>
      <c r="F8" s="292" t="s">
        <v>829</v>
      </c>
      <c r="G8" s="292" t="s">
        <v>77</v>
      </c>
      <c r="H8" s="292" t="s">
        <v>444</v>
      </c>
      <c r="I8" s="292" t="s">
        <v>445</v>
      </c>
      <c r="J8" s="292" t="s">
        <v>446</v>
      </c>
      <c r="K8" s="292" t="s">
        <v>77</v>
      </c>
      <c r="L8" s="292" t="s">
        <v>447</v>
      </c>
      <c r="M8" s="292" t="s">
        <v>448</v>
      </c>
      <c r="N8" s="292" t="s">
        <v>443</v>
      </c>
      <c r="O8" s="293" t="s">
        <v>445</v>
      </c>
    </row>
    <row r="9" spans="2:15" ht="15">
      <c r="B9" s="299">
        <v>1</v>
      </c>
      <c r="C9" s="64" t="s">
        <v>400</v>
      </c>
      <c r="D9" s="59"/>
      <c r="E9" s="300"/>
      <c r="F9" s="301">
        <v>492.0343656</v>
      </c>
      <c r="G9" s="62"/>
      <c r="H9" s="61"/>
      <c r="I9" s="308">
        <f t="shared" ref="I9:I15" si="0">F9+G9-H9</f>
        <v>492.0343656</v>
      </c>
      <c r="J9" s="309"/>
      <c r="K9" s="310">
        <v>0</v>
      </c>
      <c r="L9" s="309"/>
      <c r="M9" s="308">
        <f>J9+K9-L9</f>
        <v>0</v>
      </c>
      <c r="N9" s="308">
        <f t="shared" ref="N9:N15" si="1">F9-J9</f>
        <v>492.0343656</v>
      </c>
      <c r="O9" s="308">
        <f>I9-M9</f>
        <v>492.0343656</v>
      </c>
    </row>
    <row r="10" spans="2:15" ht="15">
      <c r="B10" s="299">
        <v>2</v>
      </c>
      <c r="C10" s="58" t="s">
        <v>75</v>
      </c>
      <c r="D10" s="59"/>
      <c r="E10" s="60"/>
      <c r="F10" s="294">
        <v>290.18101913699996</v>
      </c>
      <c r="G10" s="62"/>
      <c r="H10" s="61"/>
      <c r="I10" s="308">
        <f t="shared" si="0"/>
        <v>290.18101913699996</v>
      </c>
      <c r="J10" s="309"/>
      <c r="K10" s="310">
        <v>1.4654170440000001</v>
      </c>
      <c r="L10" s="309"/>
      <c r="M10" s="308">
        <f>J10+K10-L10</f>
        <v>1.4654170440000001</v>
      </c>
      <c r="N10" s="308">
        <f>F10-J10</f>
        <v>290.18101913699996</v>
      </c>
      <c r="O10" s="308">
        <f t="shared" ref="O10:O12" si="2">I10-M10</f>
        <v>288.71560209299997</v>
      </c>
    </row>
    <row r="11" spans="2:15" ht="15">
      <c r="B11" s="299">
        <v>3</v>
      </c>
      <c r="C11" s="64" t="s">
        <v>76</v>
      </c>
      <c r="D11" s="59"/>
      <c r="E11" s="60"/>
      <c r="F11" s="294">
        <v>1547.9637573079999</v>
      </c>
      <c r="G11" s="62"/>
      <c r="H11" s="61"/>
      <c r="I11" s="308">
        <f t="shared" si="0"/>
        <v>1547.9637573079999</v>
      </c>
      <c r="J11" s="309"/>
      <c r="K11" s="310">
        <v>9.2834406939999994</v>
      </c>
      <c r="L11" s="309"/>
      <c r="M11" s="308">
        <f t="shared" ref="M11:M12" si="3">J11+K11-L11</f>
        <v>9.2834406939999994</v>
      </c>
      <c r="N11" s="308">
        <f t="shared" si="1"/>
        <v>1547.9637573079999</v>
      </c>
      <c r="O11" s="308">
        <f t="shared" si="2"/>
        <v>1538.6803166139998</v>
      </c>
    </row>
    <row r="12" spans="2:15" ht="15">
      <c r="B12" s="299">
        <f>+B11+1</f>
        <v>4</v>
      </c>
      <c r="C12" s="64" t="s">
        <v>825</v>
      </c>
      <c r="D12" s="59"/>
      <c r="E12" s="65"/>
      <c r="F12" s="294">
        <v>6889.304820489001</v>
      </c>
      <c r="G12" s="62"/>
      <c r="H12" s="63"/>
      <c r="I12" s="308">
        <f t="shared" si="0"/>
        <v>6889.304820489001</v>
      </c>
      <c r="J12" s="309"/>
      <c r="K12" s="310">
        <v>41.707115326999997</v>
      </c>
      <c r="L12" s="309"/>
      <c r="M12" s="308">
        <f t="shared" si="3"/>
        <v>41.707115326999997</v>
      </c>
      <c r="N12" s="308">
        <f t="shared" si="1"/>
        <v>6889.304820489001</v>
      </c>
      <c r="O12" s="308">
        <f t="shared" si="2"/>
        <v>6847.5977051620011</v>
      </c>
    </row>
    <row r="13" spans="2:15" ht="15">
      <c r="B13" s="299">
        <f>+B12+1</f>
        <v>5</v>
      </c>
      <c r="C13" s="64" t="s">
        <v>826</v>
      </c>
      <c r="D13" s="59"/>
      <c r="E13" s="300"/>
      <c r="F13" s="294">
        <v>8.0297374680000004</v>
      </c>
      <c r="G13" s="307">
        <v>1.534</v>
      </c>
      <c r="H13" s="61"/>
      <c r="I13" s="308">
        <f t="shared" si="0"/>
        <v>9.5637374680000011</v>
      </c>
      <c r="J13" s="309"/>
      <c r="K13" s="310">
        <v>0.54257536500000003</v>
      </c>
      <c r="L13" s="309"/>
      <c r="M13" s="308">
        <f>J13+K13-L13</f>
        <v>0.54257536500000003</v>
      </c>
      <c r="N13" s="308">
        <f t="shared" si="1"/>
        <v>8.0297374680000004</v>
      </c>
      <c r="O13" s="308">
        <f>I13-M13</f>
        <v>9.0211621030000018</v>
      </c>
    </row>
    <row r="14" spans="2:15" ht="15">
      <c r="B14" s="299">
        <f>+B13+1</f>
        <v>6</v>
      </c>
      <c r="C14" s="64" t="s">
        <v>827</v>
      </c>
      <c r="D14" s="59"/>
      <c r="E14" s="60"/>
      <c r="F14" s="294">
        <v>0.80131040500000006</v>
      </c>
      <c r="G14" s="62"/>
      <c r="H14" s="61"/>
      <c r="I14" s="308">
        <f t="shared" si="0"/>
        <v>0.80131040500000006</v>
      </c>
      <c r="J14" s="309"/>
      <c r="K14" s="310">
        <v>1.5926243999999999E-2</v>
      </c>
      <c r="L14" s="309"/>
      <c r="M14" s="308">
        <f t="shared" ref="M14:M15" si="4">J14+K14-L14</f>
        <v>1.5926243999999999E-2</v>
      </c>
      <c r="N14" s="308">
        <f t="shared" si="1"/>
        <v>0.80131040500000006</v>
      </c>
      <c r="O14" s="308">
        <f t="shared" ref="O14:O15" si="5">I14-M14</f>
        <v>0.78538416100000008</v>
      </c>
    </row>
    <row r="15" spans="2:15" ht="15">
      <c r="B15" s="299">
        <f>+B14+1</f>
        <v>7</v>
      </c>
      <c r="C15" s="64" t="s">
        <v>828</v>
      </c>
      <c r="D15" s="59"/>
      <c r="E15" s="60"/>
      <c r="F15" s="294">
        <v>43.663324641999999</v>
      </c>
      <c r="G15" s="62"/>
      <c r="H15" s="61"/>
      <c r="I15" s="308">
        <f t="shared" si="0"/>
        <v>43.663324641999999</v>
      </c>
      <c r="J15" s="309"/>
      <c r="K15" s="310">
        <v>1.3455607380000001</v>
      </c>
      <c r="L15" s="309"/>
      <c r="M15" s="308">
        <f t="shared" si="4"/>
        <v>1.3455607380000001</v>
      </c>
      <c r="N15" s="308">
        <f t="shared" si="1"/>
        <v>43.663324641999999</v>
      </c>
      <c r="O15" s="308">
        <f t="shared" si="5"/>
        <v>42.317763903999996</v>
      </c>
    </row>
    <row r="16" spans="2:15" s="48" customFormat="1" ht="15.75" thickBot="1">
      <c r="B16" s="303"/>
      <c r="C16" s="304" t="s">
        <v>78</v>
      </c>
      <c r="D16" s="304"/>
      <c r="E16" s="305">
        <f>IFERROR((K16-L16)/AVERAGE(F16,I16),0)</f>
        <v>5.8623417337584508E-3</v>
      </c>
      <c r="F16" s="306">
        <f>ROUND(SUM(F9:F15),2)</f>
        <v>9271.98</v>
      </c>
      <c r="G16" s="306">
        <f>SUM(G9:G15)</f>
        <v>1.534</v>
      </c>
      <c r="H16" s="306">
        <f t="shared" ref="H16:L16" si="6">SUM(H9:H15)</f>
        <v>0</v>
      </c>
      <c r="I16" s="306">
        <f>ROUND(SUM(I9:I15),2)</f>
        <v>9273.51</v>
      </c>
      <c r="J16" s="306">
        <f t="shared" si="6"/>
        <v>0</v>
      </c>
      <c r="K16" s="306">
        <f>ROUND(SUM(K9:K15),2)</f>
        <v>54.36</v>
      </c>
      <c r="L16" s="306">
        <f t="shared" si="6"/>
        <v>0</v>
      </c>
      <c r="M16" s="306">
        <f>ROUND(SUM(M9:M15),2)</f>
        <v>54.36</v>
      </c>
      <c r="N16" s="306">
        <f>ROUND(SUM(N9:N15),2)</f>
        <v>9271.98</v>
      </c>
      <c r="O16" s="306">
        <f>ROUND(SUM(O9:O15),2)</f>
        <v>9219.15</v>
      </c>
    </row>
    <row r="17" spans="2:15" ht="15" thickBot="1"/>
    <row r="18" spans="2:15" ht="15">
      <c r="B18" s="581" t="s">
        <v>669</v>
      </c>
      <c r="C18" s="582"/>
      <c r="D18" s="582"/>
      <c r="E18" s="582"/>
      <c r="F18" s="582"/>
      <c r="G18" s="582"/>
      <c r="H18" s="582"/>
      <c r="I18" s="582"/>
      <c r="J18" s="582"/>
      <c r="K18" s="582"/>
      <c r="L18" s="582"/>
      <c r="M18" s="582"/>
      <c r="N18" s="582"/>
      <c r="O18" s="583"/>
    </row>
    <row r="19" spans="2:15" ht="14.25" customHeight="1">
      <c r="B19" s="586" t="s">
        <v>2</v>
      </c>
      <c r="C19" s="588" t="s">
        <v>450</v>
      </c>
      <c r="D19" s="584" t="s">
        <v>438</v>
      </c>
      <c r="E19" s="584" t="s">
        <v>439</v>
      </c>
      <c r="F19" s="584" t="s">
        <v>440</v>
      </c>
      <c r="G19" s="584"/>
      <c r="H19" s="584"/>
      <c r="I19" s="584"/>
      <c r="J19" s="584" t="s">
        <v>441</v>
      </c>
      <c r="K19" s="584"/>
      <c r="L19" s="584"/>
      <c r="M19" s="584"/>
      <c r="N19" s="584" t="s">
        <v>442</v>
      </c>
      <c r="O19" s="585"/>
    </row>
    <row r="20" spans="2:15" ht="45">
      <c r="B20" s="587"/>
      <c r="C20" s="589"/>
      <c r="D20" s="590"/>
      <c r="E20" s="590"/>
      <c r="F20" s="292" t="s">
        <v>443</v>
      </c>
      <c r="G20" s="292" t="s">
        <v>77</v>
      </c>
      <c r="H20" s="292" t="s">
        <v>444</v>
      </c>
      <c r="I20" s="292" t="s">
        <v>445</v>
      </c>
      <c r="J20" s="292" t="s">
        <v>446</v>
      </c>
      <c r="K20" s="292" t="s">
        <v>77</v>
      </c>
      <c r="L20" s="292" t="s">
        <v>447</v>
      </c>
      <c r="M20" s="292" t="s">
        <v>448</v>
      </c>
      <c r="N20" s="292" t="s">
        <v>443</v>
      </c>
      <c r="O20" s="293" t="s">
        <v>445</v>
      </c>
    </row>
    <row r="21" spans="2:15" ht="15">
      <c r="B21" s="299">
        <v>1</v>
      </c>
      <c r="C21" s="64" t="s">
        <v>400</v>
      </c>
      <c r="D21" s="59"/>
      <c r="E21" s="300"/>
      <c r="F21" s="301">
        <f>I9</f>
        <v>492.0343656</v>
      </c>
      <c r="G21" s="62"/>
      <c r="H21" s="61"/>
      <c r="I21" s="168">
        <f t="shared" ref="I21:I27" si="7">F21+G21-H21</f>
        <v>492.0343656</v>
      </c>
      <c r="J21" s="61">
        <f>K9</f>
        <v>0</v>
      </c>
      <c r="K21" s="169">
        <v>0</v>
      </c>
      <c r="L21" s="61"/>
      <c r="M21" s="168">
        <f>J21+K21-L21</f>
        <v>0</v>
      </c>
      <c r="N21" s="168">
        <f t="shared" ref="N21:N27" si="8">F21-J21</f>
        <v>492.0343656</v>
      </c>
      <c r="O21" s="168">
        <f>I21-M21</f>
        <v>492.0343656</v>
      </c>
    </row>
    <row r="22" spans="2:15" ht="15">
      <c r="B22" s="299">
        <v>2</v>
      </c>
      <c r="C22" s="58" t="s">
        <v>75</v>
      </c>
      <c r="D22" s="59"/>
      <c r="E22" s="60"/>
      <c r="F22" s="301">
        <f t="shared" ref="F22:F27" si="9">I10</f>
        <v>290.18101913699996</v>
      </c>
      <c r="G22" s="62"/>
      <c r="H22" s="61"/>
      <c r="I22" s="168">
        <f t="shared" si="7"/>
        <v>290.18101913699996</v>
      </c>
      <c r="J22" s="61">
        <f t="shared" ref="J22:J27" si="10">K10</f>
        <v>1.4654170440000001</v>
      </c>
      <c r="K22" s="169">
        <v>8.7925022619999975</v>
      </c>
      <c r="L22" s="61"/>
      <c r="M22" s="168">
        <f t="shared" ref="M22:M24" si="11">J22+K22-L22</f>
        <v>10.257919305999998</v>
      </c>
      <c r="N22" s="168">
        <f t="shared" si="8"/>
        <v>288.71560209299997</v>
      </c>
      <c r="O22" s="168">
        <f t="shared" ref="O22:O24" si="12">I22-M22</f>
        <v>279.92309983099994</v>
      </c>
    </row>
    <row r="23" spans="2:15" ht="15">
      <c r="B23" s="299">
        <v>3</v>
      </c>
      <c r="C23" s="64" t="s">
        <v>871</v>
      </c>
      <c r="D23" s="59"/>
      <c r="E23" s="60"/>
      <c r="F23" s="301">
        <f t="shared" si="9"/>
        <v>1547.9637573079999</v>
      </c>
      <c r="G23" s="62">
        <v>608.59</v>
      </c>
      <c r="H23" s="61"/>
      <c r="I23" s="168">
        <f t="shared" si="7"/>
        <v>2156.5537573080001</v>
      </c>
      <c r="J23" s="61">
        <f t="shared" si="10"/>
        <v>9.2834406939999994</v>
      </c>
      <c r="K23" s="169">
        <f>55.7+12.1718</f>
        <v>67.871800000000007</v>
      </c>
      <c r="L23" s="61"/>
      <c r="M23" s="168">
        <f t="shared" si="11"/>
        <v>77.155240694000014</v>
      </c>
      <c r="N23" s="168">
        <f t="shared" si="8"/>
        <v>1538.6803166139998</v>
      </c>
      <c r="O23" s="168">
        <f t="shared" si="12"/>
        <v>2079.3985166140001</v>
      </c>
    </row>
    <row r="24" spans="2:15" ht="15">
      <c r="B24" s="299">
        <f>+B23+1</f>
        <v>4</v>
      </c>
      <c r="C24" s="64" t="s">
        <v>825</v>
      </c>
      <c r="D24" s="59"/>
      <c r="E24" s="65"/>
      <c r="F24" s="301">
        <f t="shared" si="9"/>
        <v>6889.304820489001</v>
      </c>
      <c r="G24" s="62">
        <f>990.05-G23</f>
        <v>381.45999999999992</v>
      </c>
      <c r="H24" s="63"/>
      <c r="I24" s="168">
        <f t="shared" si="7"/>
        <v>7270.7648204890011</v>
      </c>
      <c r="J24" s="61">
        <f t="shared" si="10"/>
        <v>41.707115326999997</v>
      </c>
      <c r="K24" s="169">
        <f>250.24+7.6292</f>
        <v>257.86920000000003</v>
      </c>
      <c r="L24" s="61"/>
      <c r="M24" s="168">
        <f t="shared" si="11"/>
        <v>299.57631532700003</v>
      </c>
      <c r="N24" s="168">
        <f t="shared" si="8"/>
        <v>6847.5977051620011</v>
      </c>
      <c r="O24" s="168">
        <f t="shared" si="12"/>
        <v>6971.1885051620011</v>
      </c>
    </row>
    <row r="25" spans="2:15" ht="15">
      <c r="B25" s="299">
        <f>+B24+1</f>
        <v>5</v>
      </c>
      <c r="C25" s="64" t="s">
        <v>826</v>
      </c>
      <c r="D25" s="59"/>
      <c r="E25" s="300"/>
      <c r="F25" s="301">
        <f t="shared" si="9"/>
        <v>9.5637374680000011</v>
      </c>
      <c r="G25" s="62"/>
      <c r="H25" s="61"/>
      <c r="I25" s="168">
        <f t="shared" si="7"/>
        <v>9.5637374680000011</v>
      </c>
      <c r="J25" s="61">
        <f t="shared" si="10"/>
        <v>0.54257536500000003</v>
      </c>
      <c r="K25" s="169">
        <v>3.61</v>
      </c>
      <c r="L25" s="61"/>
      <c r="M25" s="168">
        <f>J25+K25-L25</f>
        <v>4.1525753649999997</v>
      </c>
      <c r="N25" s="168">
        <f t="shared" si="8"/>
        <v>9.0211621030000018</v>
      </c>
      <c r="O25" s="168">
        <f>I25-M25</f>
        <v>5.4111621030000014</v>
      </c>
    </row>
    <row r="26" spans="2:15" ht="15">
      <c r="B26" s="299">
        <f>+B25+1</f>
        <v>6</v>
      </c>
      <c r="C26" s="64" t="s">
        <v>827</v>
      </c>
      <c r="D26" s="59"/>
      <c r="E26" s="60"/>
      <c r="F26" s="301">
        <f t="shared" si="9"/>
        <v>0.80131040500000006</v>
      </c>
      <c r="G26" s="62"/>
      <c r="H26" s="61"/>
      <c r="I26" s="168">
        <f t="shared" si="7"/>
        <v>0.80131040500000006</v>
      </c>
      <c r="J26" s="61">
        <f t="shared" si="10"/>
        <v>1.5926243999999999E-2</v>
      </c>
      <c r="K26" s="169">
        <v>9.791920400000001E-2</v>
      </c>
      <c r="L26" s="61"/>
      <c r="M26" s="168">
        <f t="shared" ref="M26:M27" si="13">J26+K26-L26</f>
        <v>0.11384544800000002</v>
      </c>
      <c r="N26" s="168">
        <f t="shared" si="8"/>
        <v>0.78538416100000008</v>
      </c>
      <c r="O26" s="168">
        <f t="shared" ref="O26:O27" si="14">I26-M26</f>
        <v>0.68746495699999999</v>
      </c>
    </row>
    <row r="27" spans="2:15" ht="15">
      <c r="B27" s="299">
        <f>+B26+1</f>
        <v>7</v>
      </c>
      <c r="C27" s="64" t="s">
        <v>828</v>
      </c>
      <c r="D27" s="59"/>
      <c r="E27" s="60"/>
      <c r="F27" s="301">
        <f t="shared" si="9"/>
        <v>43.663324641999999</v>
      </c>
      <c r="G27" s="62"/>
      <c r="H27" s="61"/>
      <c r="I27" s="168">
        <f t="shared" si="7"/>
        <v>43.663324641999999</v>
      </c>
      <c r="J27" s="61">
        <f t="shared" si="10"/>
        <v>1.3455607380000001</v>
      </c>
      <c r="K27" s="169">
        <v>8.072112370000001</v>
      </c>
      <c r="L27" s="61"/>
      <c r="M27" s="168">
        <f t="shared" si="13"/>
        <v>9.4176731080000007</v>
      </c>
      <c r="N27" s="168">
        <f t="shared" si="8"/>
        <v>42.317763903999996</v>
      </c>
      <c r="O27" s="168">
        <f t="shared" si="14"/>
        <v>34.245651533999997</v>
      </c>
    </row>
    <row r="28" spans="2:15" ht="15.75" customHeight="1" thickBot="1">
      <c r="B28" s="289"/>
      <c r="C28" s="290"/>
      <c r="D28" s="289"/>
      <c r="E28" s="289"/>
      <c r="F28" s="171">
        <f>ROUND(SUM(F21:F27),2)</f>
        <v>9273.51</v>
      </c>
      <c r="G28" s="171">
        <f>SUM(G23:G27)</f>
        <v>990.05</v>
      </c>
      <c r="H28" s="171">
        <f t="shared" ref="H28" si="15">SUM(H21:H27)</f>
        <v>0</v>
      </c>
      <c r="I28" s="171">
        <f>ROUND(SUM(I21:I27),2)</f>
        <v>10263.56</v>
      </c>
      <c r="J28" s="171">
        <f>ROUND(SUM(J21:J27),2)</f>
        <v>54.36</v>
      </c>
      <c r="K28" s="171">
        <f>ROUND(SUM(K21:K27),2)</f>
        <v>346.31</v>
      </c>
      <c r="L28" s="171">
        <f t="shared" ref="L28" si="16">SUM(L21:L27)</f>
        <v>0</v>
      </c>
      <c r="M28" s="171">
        <f>ROUND(SUM(M21:M27),2)</f>
        <v>400.67</v>
      </c>
      <c r="N28" s="171">
        <f>ROUND(SUM(N21:N27),2)</f>
        <v>9219.15</v>
      </c>
      <c r="O28" s="171">
        <f>ROUND(SUM(O21:O27),2)</f>
        <v>9862.89</v>
      </c>
    </row>
    <row r="29" spans="2:15" ht="15.75" customHeight="1" thickBot="1">
      <c r="B29" s="296"/>
      <c r="C29" s="297"/>
      <c r="D29" s="298"/>
      <c r="E29" s="298"/>
      <c r="F29" s="295"/>
      <c r="G29" s="295"/>
      <c r="H29" s="295"/>
      <c r="I29" s="295"/>
      <c r="J29" s="295"/>
      <c r="K29" s="295"/>
      <c r="L29" s="295"/>
      <c r="M29" s="295"/>
      <c r="N29" s="295"/>
      <c r="O29" s="295"/>
    </row>
    <row r="30" spans="2:15" ht="15">
      <c r="B30" s="581" t="s">
        <v>670</v>
      </c>
      <c r="C30" s="582"/>
      <c r="D30" s="582"/>
      <c r="E30" s="582"/>
      <c r="F30" s="582"/>
      <c r="G30" s="582"/>
      <c r="H30" s="582"/>
      <c r="I30" s="582"/>
      <c r="J30" s="582"/>
      <c r="K30" s="582"/>
      <c r="L30" s="582"/>
      <c r="M30" s="582"/>
      <c r="N30" s="582"/>
      <c r="O30" s="583"/>
    </row>
    <row r="31" spans="2:15" ht="14.25" customHeight="1">
      <c r="B31" s="586" t="s">
        <v>2</v>
      </c>
      <c r="C31" s="588" t="s">
        <v>450</v>
      </c>
      <c r="D31" s="584" t="s">
        <v>438</v>
      </c>
      <c r="E31" s="584" t="s">
        <v>439</v>
      </c>
      <c r="F31" s="584" t="s">
        <v>440</v>
      </c>
      <c r="G31" s="584"/>
      <c r="H31" s="584"/>
      <c r="I31" s="584"/>
      <c r="J31" s="584" t="s">
        <v>441</v>
      </c>
      <c r="K31" s="584"/>
      <c r="L31" s="584"/>
      <c r="M31" s="584"/>
      <c r="N31" s="584" t="s">
        <v>442</v>
      </c>
      <c r="O31" s="585"/>
    </row>
    <row r="32" spans="2:15" ht="45">
      <c r="B32" s="587"/>
      <c r="C32" s="589"/>
      <c r="D32" s="590"/>
      <c r="E32" s="590"/>
      <c r="F32" s="292" t="s">
        <v>443</v>
      </c>
      <c r="G32" s="292" t="s">
        <v>77</v>
      </c>
      <c r="H32" s="292" t="s">
        <v>444</v>
      </c>
      <c r="I32" s="292" t="s">
        <v>445</v>
      </c>
      <c r="J32" s="292" t="s">
        <v>446</v>
      </c>
      <c r="K32" s="292" t="s">
        <v>77</v>
      </c>
      <c r="L32" s="292" t="s">
        <v>447</v>
      </c>
      <c r="M32" s="292" t="s">
        <v>448</v>
      </c>
      <c r="N32" s="292" t="s">
        <v>443</v>
      </c>
      <c r="O32" s="293" t="s">
        <v>445</v>
      </c>
    </row>
    <row r="33" spans="2:15" ht="15">
      <c r="B33" s="299">
        <v>1</v>
      </c>
      <c r="C33" s="64" t="s">
        <v>400</v>
      </c>
      <c r="D33" s="59"/>
      <c r="E33" s="300"/>
      <c r="F33" s="301">
        <f>I21</f>
        <v>492.0343656</v>
      </c>
      <c r="G33" s="62"/>
      <c r="H33" s="61"/>
      <c r="I33" s="168">
        <f t="shared" ref="I33:I39" si="17">F33+G33-H33</f>
        <v>492.0343656</v>
      </c>
      <c r="J33" s="61">
        <f>M21</f>
        <v>0</v>
      </c>
      <c r="K33" s="169">
        <v>0</v>
      </c>
      <c r="L33" s="61"/>
      <c r="M33" s="168">
        <f>J33+K33-L33</f>
        <v>0</v>
      </c>
      <c r="N33" s="168">
        <f t="shared" ref="N33:N39" si="18">F33-J33</f>
        <v>492.0343656</v>
      </c>
      <c r="O33" s="168">
        <f>I33-M33</f>
        <v>492.0343656</v>
      </c>
    </row>
    <row r="34" spans="2:15" ht="15">
      <c r="B34" s="299">
        <v>2</v>
      </c>
      <c r="C34" s="58" t="s">
        <v>75</v>
      </c>
      <c r="D34" s="59"/>
      <c r="E34" s="60"/>
      <c r="F34" s="301">
        <f t="shared" ref="F34:F39" si="19">I22</f>
        <v>290.18101913699996</v>
      </c>
      <c r="G34" s="62"/>
      <c r="H34" s="61"/>
      <c r="I34" s="168">
        <f>F34+G34-H34</f>
        <v>290.18101913699996</v>
      </c>
      <c r="J34" s="61">
        <f t="shared" ref="J34:J39" si="20">M22</f>
        <v>10.257919305999998</v>
      </c>
      <c r="K34" s="169">
        <v>8.7925022619999975</v>
      </c>
      <c r="L34" s="61"/>
      <c r="M34" s="168">
        <f t="shared" ref="M34:M36" si="21">J34+K34-L34</f>
        <v>19.050421567999997</v>
      </c>
      <c r="N34" s="168">
        <f t="shared" si="18"/>
        <v>279.92309983099994</v>
      </c>
      <c r="O34" s="168">
        <f t="shared" ref="O34:O36" si="22">I34-M34</f>
        <v>271.13059756899997</v>
      </c>
    </row>
    <row r="35" spans="2:15" ht="15">
      <c r="B35" s="299">
        <v>3</v>
      </c>
      <c r="C35" s="64" t="s">
        <v>872</v>
      </c>
      <c r="D35" s="59"/>
      <c r="E35" s="60"/>
      <c r="F35" s="301">
        <f t="shared" si="19"/>
        <v>2156.5537573080001</v>
      </c>
      <c r="G35" s="62"/>
      <c r="H35" s="61"/>
      <c r="I35" s="168">
        <f>F35+G35-H35</f>
        <v>2156.5537573080001</v>
      </c>
      <c r="J35" s="61">
        <f t="shared" si="20"/>
        <v>77.155240694000014</v>
      </c>
      <c r="K35" s="169">
        <f>55.7+24.3436</f>
        <v>80.043599999999998</v>
      </c>
      <c r="L35" s="61"/>
      <c r="M35" s="168">
        <f t="shared" si="21"/>
        <v>157.19884069400001</v>
      </c>
      <c r="N35" s="168">
        <f t="shared" si="18"/>
        <v>2079.3985166140001</v>
      </c>
      <c r="O35" s="168">
        <f t="shared" si="22"/>
        <v>1999.3549166140001</v>
      </c>
    </row>
    <row r="36" spans="2:15" ht="15">
      <c r="B36" s="299">
        <f>+B35+1</f>
        <v>4</v>
      </c>
      <c r="C36" s="64" t="s">
        <v>825</v>
      </c>
      <c r="D36" s="59"/>
      <c r="E36" s="65"/>
      <c r="F36" s="301">
        <f t="shared" si="19"/>
        <v>7270.7648204890011</v>
      </c>
      <c r="G36" s="62"/>
      <c r="H36" s="63"/>
      <c r="I36" s="168">
        <f t="shared" si="17"/>
        <v>7270.7648204890011</v>
      </c>
      <c r="J36" s="61">
        <f t="shared" si="20"/>
        <v>299.57631532700003</v>
      </c>
      <c r="K36" s="169">
        <f>250.24+15.2584</f>
        <v>265.4984</v>
      </c>
      <c r="L36" s="61"/>
      <c r="M36" s="168">
        <f t="shared" si="21"/>
        <v>565.07471532700004</v>
      </c>
      <c r="N36" s="168">
        <f t="shared" si="18"/>
        <v>6971.1885051620011</v>
      </c>
      <c r="O36" s="168">
        <f t="shared" si="22"/>
        <v>6705.6901051620007</v>
      </c>
    </row>
    <row r="37" spans="2:15" ht="15">
      <c r="B37" s="299">
        <f>+B36+1</f>
        <v>5</v>
      </c>
      <c r="C37" s="64" t="s">
        <v>826</v>
      </c>
      <c r="D37" s="59"/>
      <c r="E37" s="300"/>
      <c r="F37" s="301">
        <f t="shared" si="19"/>
        <v>9.5637374680000011</v>
      </c>
      <c r="G37" s="62"/>
      <c r="H37" s="61"/>
      <c r="I37" s="168">
        <f t="shared" si="17"/>
        <v>9.5637374680000011</v>
      </c>
      <c r="J37" s="61">
        <f t="shared" si="20"/>
        <v>4.1525753649999997</v>
      </c>
      <c r="K37" s="169">
        <v>3.370563347</v>
      </c>
      <c r="L37" s="61"/>
      <c r="M37" s="168">
        <f>J37+K37-L37</f>
        <v>7.5231387119999997</v>
      </c>
      <c r="N37" s="168">
        <f t="shared" si="18"/>
        <v>5.4111621030000014</v>
      </c>
      <c r="O37" s="168">
        <f>I37-M37</f>
        <v>2.0405987560000014</v>
      </c>
    </row>
    <row r="38" spans="2:15" ht="15">
      <c r="B38" s="299">
        <f>+B37+1</f>
        <v>6</v>
      </c>
      <c r="C38" s="64" t="s">
        <v>827</v>
      </c>
      <c r="D38" s="59"/>
      <c r="E38" s="60"/>
      <c r="F38" s="301">
        <f t="shared" si="19"/>
        <v>0.80131040500000006</v>
      </c>
      <c r="G38" s="62"/>
      <c r="H38" s="61"/>
      <c r="I38" s="168">
        <f t="shared" si="17"/>
        <v>0.80131040500000006</v>
      </c>
      <c r="J38" s="61">
        <f t="shared" si="20"/>
        <v>0.11384544800000002</v>
      </c>
      <c r="K38" s="169">
        <v>9.7919202000000011E-2</v>
      </c>
      <c r="L38" s="61"/>
      <c r="M38" s="168">
        <f t="shared" ref="M38:M39" si="23">J38+K38-L38</f>
        <v>0.21176465000000003</v>
      </c>
      <c r="N38" s="168">
        <f t="shared" si="18"/>
        <v>0.68746495699999999</v>
      </c>
      <c r="O38" s="168">
        <f t="shared" ref="O38:O39" si="24">I38-M38</f>
        <v>0.58954575500000006</v>
      </c>
    </row>
    <row r="39" spans="2:15" ht="15">
      <c r="B39" s="299">
        <f>+B38+1</f>
        <v>7</v>
      </c>
      <c r="C39" s="64" t="s">
        <v>828</v>
      </c>
      <c r="D39" s="59"/>
      <c r="E39" s="60"/>
      <c r="F39" s="301">
        <f t="shared" si="19"/>
        <v>43.663324641999999</v>
      </c>
      <c r="G39" s="62"/>
      <c r="H39" s="61"/>
      <c r="I39" s="168">
        <f t="shared" si="17"/>
        <v>43.663324641999999</v>
      </c>
      <c r="J39" s="61">
        <f t="shared" si="20"/>
        <v>9.4176731080000007</v>
      </c>
      <c r="K39" s="169">
        <v>8.0442573350000011</v>
      </c>
      <c r="L39" s="61"/>
      <c r="M39" s="168">
        <f t="shared" si="23"/>
        <v>17.461930443</v>
      </c>
      <c r="N39" s="168">
        <f t="shared" si="18"/>
        <v>34.245651533999997</v>
      </c>
      <c r="O39" s="168">
        <f t="shared" si="24"/>
        <v>26.201394198999999</v>
      </c>
    </row>
    <row r="40" spans="2:15" ht="15">
      <c r="B40" s="299"/>
      <c r="C40" s="59" t="s">
        <v>78</v>
      </c>
      <c r="D40" s="59"/>
      <c r="E40" s="302">
        <f>IFERROR((K40-L40)/AVERAGE(F40,I40),0)</f>
        <v>3.5645526503474433E-2</v>
      </c>
      <c r="F40" s="169">
        <f>ROUND(SUM(F33:F39),2)</f>
        <v>10263.56</v>
      </c>
      <c r="G40" s="169">
        <f>SUM(G33:G39)</f>
        <v>0</v>
      </c>
      <c r="H40" s="169">
        <f t="shared" ref="H40" si="25">SUM(H33:H39)</f>
        <v>0</v>
      </c>
      <c r="I40" s="169">
        <f>ROUND(SUM(I33:I39),2)</f>
        <v>10263.56</v>
      </c>
      <c r="J40" s="169">
        <f>ROUND(SUM(J33:J39),2)</f>
        <v>400.67</v>
      </c>
      <c r="K40" s="169">
        <f>ROUND(SUM(K33:K39),2)</f>
        <v>365.85</v>
      </c>
      <c r="L40" s="169">
        <f t="shared" ref="L40" si="26">SUM(L33:L39)</f>
        <v>0</v>
      </c>
      <c r="M40" s="169">
        <f>ROUND(SUM(M33:M39),2)</f>
        <v>766.52</v>
      </c>
      <c r="N40" s="169">
        <f>ROUND(SUM(N33:N39),2)</f>
        <v>9862.89</v>
      </c>
      <c r="O40" s="169">
        <f>ROUND(SUM(O33:O39),2)</f>
        <v>9497.0400000000009</v>
      </c>
    </row>
    <row r="41" spans="2:15" ht="15.75" thickBot="1">
      <c r="B41" s="311"/>
      <c r="C41" s="312"/>
      <c r="D41" s="312"/>
      <c r="E41" s="313"/>
      <c r="F41" s="314"/>
      <c r="G41" s="314"/>
      <c r="H41" s="314"/>
      <c r="I41" s="314"/>
      <c r="J41" s="314"/>
      <c r="K41" s="314"/>
      <c r="L41" s="314"/>
      <c r="M41" s="314"/>
      <c r="N41" s="314"/>
      <c r="O41" s="314"/>
    </row>
    <row r="42" spans="2:15" ht="15">
      <c r="B42" s="581" t="s">
        <v>671</v>
      </c>
      <c r="C42" s="582"/>
      <c r="D42" s="582"/>
      <c r="E42" s="582"/>
      <c r="F42" s="582"/>
      <c r="G42" s="582"/>
      <c r="H42" s="582"/>
      <c r="I42" s="582"/>
      <c r="J42" s="582"/>
      <c r="K42" s="582"/>
      <c r="L42" s="582"/>
      <c r="M42" s="582"/>
      <c r="N42" s="582"/>
      <c r="O42" s="583"/>
    </row>
    <row r="43" spans="2:15" ht="14.25" customHeight="1">
      <c r="B43" s="586" t="s">
        <v>2</v>
      </c>
      <c r="C43" s="588" t="s">
        <v>450</v>
      </c>
      <c r="D43" s="584" t="s">
        <v>438</v>
      </c>
      <c r="E43" s="584" t="s">
        <v>439</v>
      </c>
      <c r="F43" s="584" t="s">
        <v>440</v>
      </c>
      <c r="G43" s="584"/>
      <c r="H43" s="584"/>
      <c r="I43" s="584"/>
      <c r="J43" s="584" t="s">
        <v>441</v>
      </c>
      <c r="K43" s="584"/>
      <c r="L43" s="584"/>
      <c r="M43" s="584"/>
      <c r="N43" s="584" t="s">
        <v>442</v>
      </c>
      <c r="O43" s="585"/>
    </row>
    <row r="44" spans="2:15" ht="45">
      <c r="B44" s="587"/>
      <c r="C44" s="589"/>
      <c r="D44" s="590"/>
      <c r="E44" s="590"/>
      <c r="F44" s="292" t="s">
        <v>443</v>
      </c>
      <c r="G44" s="292" t="s">
        <v>77</v>
      </c>
      <c r="H44" s="292" t="s">
        <v>444</v>
      </c>
      <c r="I44" s="292" t="s">
        <v>445</v>
      </c>
      <c r="J44" s="292" t="s">
        <v>446</v>
      </c>
      <c r="K44" s="292" t="s">
        <v>77</v>
      </c>
      <c r="L44" s="292" t="s">
        <v>447</v>
      </c>
      <c r="M44" s="292" t="s">
        <v>448</v>
      </c>
      <c r="N44" s="292" t="s">
        <v>443</v>
      </c>
      <c r="O44" s="289" t="s">
        <v>445</v>
      </c>
    </row>
    <row r="45" spans="2:15" ht="15">
      <c r="B45" s="299">
        <v>1</v>
      </c>
      <c r="C45" s="64" t="s">
        <v>400</v>
      </c>
      <c r="D45" s="59"/>
      <c r="E45" s="300"/>
      <c r="F45" s="301">
        <f>I33</f>
        <v>492.0343656</v>
      </c>
      <c r="G45" s="62"/>
      <c r="H45" s="61"/>
      <c r="I45" s="168">
        <f t="shared" ref="I45:I51" si="27">F45+G45-H45</f>
        <v>492.0343656</v>
      </c>
      <c r="J45" s="61">
        <f>M33</f>
        <v>0</v>
      </c>
      <c r="K45" s="169"/>
      <c r="L45" s="61"/>
      <c r="M45" s="168">
        <f>J45+K45-L45</f>
        <v>0</v>
      </c>
      <c r="N45" s="168">
        <f t="shared" ref="N45:N51" si="28">F45-J45</f>
        <v>492.0343656</v>
      </c>
      <c r="O45" s="168">
        <f>I45-M45</f>
        <v>492.0343656</v>
      </c>
    </row>
    <row r="46" spans="2:15" ht="15">
      <c r="B46" s="299">
        <v>2</v>
      </c>
      <c r="C46" s="58" t="s">
        <v>75</v>
      </c>
      <c r="D46" s="59"/>
      <c r="E46" s="60"/>
      <c r="F46" s="301">
        <f t="shared" ref="F46:F51" si="29">I34</f>
        <v>290.18101913699996</v>
      </c>
      <c r="G46" s="62"/>
      <c r="H46" s="61"/>
      <c r="I46" s="168">
        <f t="shared" si="27"/>
        <v>290.18101913699996</v>
      </c>
      <c r="J46" s="61">
        <f t="shared" ref="J46:J51" si="30">M34</f>
        <v>19.050421567999997</v>
      </c>
      <c r="K46" s="169">
        <v>8.7925022609999992</v>
      </c>
      <c r="L46" s="61"/>
      <c r="M46" s="168">
        <f t="shared" ref="M46:M48" si="31">J46+K46-L46</f>
        <v>27.842923828999997</v>
      </c>
      <c r="N46" s="168">
        <f t="shared" si="28"/>
        <v>271.13059756899997</v>
      </c>
      <c r="O46" s="168">
        <f t="shared" ref="O46:O48" si="32">I46-M46</f>
        <v>262.33809530799999</v>
      </c>
    </row>
    <row r="47" spans="2:15" ht="15">
      <c r="B47" s="299">
        <v>3</v>
      </c>
      <c r="C47" s="64" t="s">
        <v>872</v>
      </c>
      <c r="D47" s="59"/>
      <c r="E47" s="60"/>
      <c r="F47" s="301">
        <f t="shared" si="29"/>
        <v>2156.5537573080001</v>
      </c>
      <c r="G47" s="62"/>
      <c r="H47" s="61"/>
      <c r="I47" s="168">
        <f t="shared" si="27"/>
        <v>2156.5537573080001</v>
      </c>
      <c r="J47" s="61">
        <f t="shared" si="30"/>
        <v>157.19884069400001</v>
      </c>
      <c r="K47" s="169">
        <f>55.7+24.3436</f>
        <v>80.043599999999998</v>
      </c>
      <c r="L47" s="61"/>
      <c r="M47" s="168">
        <f t="shared" si="31"/>
        <v>237.24244069400001</v>
      </c>
      <c r="N47" s="168">
        <f t="shared" si="28"/>
        <v>1999.3549166140001</v>
      </c>
      <c r="O47" s="168">
        <f t="shared" si="32"/>
        <v>1919.3113166140001</v>
      </c>
    </row>
    <row r="48" spans="2:15" ht="15">
      <c r="B48" s="299">
        <f>+B47+1</f>
        <v>4</v>
      </c>
      <c r="C48" s="64" t="s">
        <v>825</v>
      </c>
      <c r="D48" s="59"/>
      <c r="E48" s="65"/>
      <c r="F48" s="301">
        <f t="shared" si="29"/>
        <v>7270.7648204890011</v>
      </c>
      <c r="G48" s="62"/>
      <c r="H48" s="63"/>
      <c r="I48" s="168">
        <f t="shared" si="27"/>
        <v>7270.7648204890011</v>
      </c>
      <c r="J48" s="61">
        <f t="shared" si="30"/>
        <v>565.07471532700004</v>
      </c>
      <c r="K48" s="169">
        <f>250.24+15.2584</f>
        <v>265.4984</v>
      </c>
      <c r="L48" s="61"/>
      <c r="M48" s="168">
        <f t="shared" si="31"/>
        <v>830.5731153270001</v>
      </c>
      <c r="N48" s="168">
        <f t="shared" si="28"/>
        <v>6705.6901051620007</v>
      </c>
      <c r="O48" s="168">
        <f t="shared" si="32"/>
        <v>6440.1917051620012</v>
      </c>
    </row>
    <row r="49" spans="2:15" ht="15">
      <c r="B49" s="299">
        <f>+B48+1</f>
        <v>5</v>
      </c>
      <c r="C49" s="64" t="s">
        <v>826</v>
      </c>
      <c r="D49" s="59"/>
      <c r="E49" s="300"/>
      <c r="F49" s="301">
        <f t="shared" si="29"/>
        <v>9.5637374680000011</v>
      </c>
      <c r="G49" s="62"/>
      <c r="H49" s="61"/>
      <c r="I49" s="168">
        <f t="shared" si="27"/>
        <v>9.5637374680000011</v>
      </c>
      <c r="J49" s="61">
        <f t="shared" si="30"/>
        <v>7.5231387119999997</v>
      </c>
      <c r="K49" s="169">
        <v>0.85739890200000002</v>
      </c>
      <c r="L49" s="61"/>
      <c r="M49" s="168">
        <f>J49+K49-L49</f>
        <v>8.3805376139999996</v>
      </c>
      <c r="N49" s="168">
        <f t="shared" si="28"/>
        <v>2.0405987560000014</v>
      </c>
      <c r="O49" s="168">
        <f>I49-M49</f>
        <v>1.1831998540000015</v>
      </c>
    </row>
    <row r="50" spans="2:15" ht="15">
      <c r="B50" s="299">
        <f>+B49+1</f>
        <v>6</v>
      </c>
      <c r="C50" s="64" t="s">
        <v>827</v>
      </c>
      <c r="D50" s="59"/>
      <c r="E50" s="60"/>
      <c r="F50" s="301">
        <f t="shared" si="29"/>
        <v>0.80131040500000006</v>
      </c>
      <c r="G50" s="62"/>
      <c r="H50" s="61"/>
      <c r="I50" s="168">
        <f t="shared" si="27"/>
        <v>0.80131040500000006</v>
      </c>
      <c r="J50" s="61">
        <f t="shared" si="30"/>
        <v>0.21176465000000003</v>
      </c>
      <c r="K50" s="169">
        <v>9.7919207000000008E-2</v>
      </c>
      <c r="L50" s="61"/>
      <c r="M50" s="168">
        <f t="shared" ref="M50:M51" si="33">J50+K50-L50</f>
        <v>0.30968385700000001</v>
      </c>
      <c r="N50" s="168">
        <f t="shared" si="28"/>
        <v>0.58954575500000006</v>
      </c>
      <c r="O50" s="168">
        <f t="shared" ref="O50:O51" si="34">I50-M50</f>
        <v>0.49162654800000005</v>
      </c>
    </row>
    <row r="51" spans="2:15" ht="15">
      <c r="B51" s="299">
        <f>+B50+1</f>
        <v>7</v>
      </c>
      <c r="C51" s="64" t="s">
        <v>828</v>
      </c>
      <c r="D51" s="59"/>
      <c r="E51" s="60"/>
      <c r="F51" s="301">
        <f t="shared" si="29"/>
        <v>43.663324641999999</v>
      </c>
      <c r="G51" s="62"/>
      <c r="H51" s="61"/>
      <c r="I51" s="168">
        <f t="shared" si="27"/>
        <v>43.663324641999999</v>
      </c>
      <c r="J51" s="61">
        <f t="shared" si="30"/>
        <v>17.461930443</v>
      </c>
      <c r="K51" s="169">
        <v>8.0334599880000006</v>
      </c>
      <c r="L51" s="61"/>
      <c r="M51" s="168">
        <f t="shared" si="33"/>
        <v>25.495390431000001</v>
      </c>
      <c r="N51" s="168">
        <f t="shared" si="28"/>
        <v>26.201394198999999</v>
      </c>
      <c r="O51" s="168">
        <f t="shared" si="34"/>
        <v>18.167934210999999</v>
      </c>
    </row>
    <row r="52" spans="2:15" ht="15">
      <c r="B52" s="299"/>
      <c r="C52" s="59" t="s">
        <v>78</v>
      </c>
      <c r="D52" s="59"/>
      <c r="E52" s="302">
        <f>IFERROR((K52-L52)/AVERAGE(F52,I52),0)</f>
        <v>3.539902334082911E-2</v>
      </c>
      <c r="F52" s="169">
        <f>ROUND(SUM(F45:F51),2)</f>
        <v>10263.56</v>
      </c>
      <c r="G52" s="169">
        <f>SUM(G45:G51)</f>
        <v>0</v>
      </c>
      <c r="H52" s="169">
        <f t="shared" ref="H52" si="35">SUM(H45:H51)</f>
        <v>0</v>
      </c>
      <c r="I52" s="169">
        <f>ROUND(SUM(I45:I51),2)</f>
        <v>10263.56</v>
      </c>
      <c r="J52" s="169">
        <f>ROUND(SUM(J45:J51),2)</f>
        <v>766.52</v>
      </c>
      <c r="K52" s="169">
        <f>ROUND(SUM(K45:K51),2)</f>
        <v>363.32</v>
      </c>
      <c r="L52" s="169">
        <f t="shared" ref="L52" si="36">SUM(L45:L51)</f>
        <v>0</v>
      </c>
      <c r="M52" s="169">
        <f>ROUND(SUM(M45:M51),2)</f>
        <v>1129.8399999999999</v>
      </c>
      <c r="N52" s="169">
        <f>ROUND(SUM(N45:N51),2)</f>
        <v>9497.0400000000009</v>
      </c>
      <c r="O52" s="169">
        <f>ROUND(SUM(O45:O51),2)</f>
        <v>9133.7199999999993</v>
      </c>
    </row>
    <row r="53" spans="2:15" ht="15" thickBot="1"/>
    <row r="54" spans="2:15" ht="15">
      <c r="B54" s="581" t="s">
        <v>672</v>
      </c>
      <c r="C54" s="582"/>
      <c r="D54" s="582"/>
      <c r="E54" s="582"/>
      <c r="F54" s="582"/>
      <c r="G54" s="582"/>
      <c r="H54" s="582"/>
      <c r="I54" s="582"/>
      <c r="J54" s="582"/>
      <c r="K54" s="582"/>
      <c r="L54" s="582"/>
      <c r="M54" s="582"/>
      <c r="N54" s="582"/>
      <c r="O54" s="583"/>
    </row>
    <row r="55" spans="2:15" ht="14.25" customHeight="1">
      <c r="B55" s="586" t="s">
        <v>2</v>
      </c>
      <c r="C55" s="588" t="s">
        <v>450</v>
      </c>
      <c r="D55" s="584" t="s">
        <v>438</v>
      </c>
      <c r="E55" s="584" t="s">
        <v>439</v>
      </c>
      <c r="F55" s="584" t="s">
        <v>440</v>
      </c>
      <c r="G55" s="584"/>
      <c r="H55" s="584"/>
      <c r="I55" s="584"/>
      <c r="J55" s="584" t="s">
        <v>441</v>
      </c>
      <c r="K55" s="584"/>
      <c r="L55" s="584"/>
      <c r="M55" s="584"/>
      <c r="N55" s="584" t="s">
        <v>442</v>
      </c>
      <c r="O55" s="585"/>
    </row>
    <row r="56" spans="2:15" ht="45">
      <c r="B56" s="587"/>
      <c r="C56" s="589"/>
      <c r="D56" s="590"/>
      <c r="E56" s="590"/>
      <c r="F56" s="292" t="s">
        <v>443</v>
      </c>
      <c r="G56" s="292" t="s">
        <v>77</v>
      </c>
      <c r="H56" s="292" t="s">
        <v>444</v>
      </c>
      <c r="I56" s="292" t="s">
        <v>445</v>
      </c>
      <c r="J56" s="292" t="s">
        <v>446</v>
      </c>
      <c r="K56" s="292" t="s">
        <v>77</v>
      </c>
      <c r="L56" s="292" t="s">
        <v>447</v>
      </c>
      <c r="M56" s="292" t="s">
        <v>448</v>
      </c>
      <c r="N56" s="292" t="s">
        <v>443</v>
      </c>
      <c r="O56" s="289" t="s">
        <v>445</v>
      </c>
    </row>
    <row r="57" spans="2:15" ht="15">
      <c r="B57" s="299">
        <v>1</v>
      </c>
      <c r="C57" s="64" t="s">
        <v>400</v>
      </c>
      <c r="D57" s="59"/>
      <c r="E57" s="300"/>
      <c r="F57" s="301">
        <f>I45</f>
        <v>492.0343656</v>
      </c>
      <c r="G57" s="62"/>
      <c r="H57" s="61"/>
      <c r="I57" s="168">
        <f t="shared" ref="I57:I63" si="37">F57+G57-H57</f>
        <v>492.0343656</v>
      </c>
      <c r="J57" s="61">
        <f>M45</f>
        <v>0</v>
      </c>
      <c r="K57" s="169"/>
      <c r="L57" s="61"/>
      <c r="M57" s="168">
        <f>J57+K57-L57</f>
        <v>0</v>
      </c>
      <c r="N57" s="168">
        <f t="shared" ref="N57:N63" si="38">F57-J57</f>
        <v>492.0343656</v>
      </c>
      <c r="O57" s="168">
        <f>I57-M57</f>
        <v>492.0343656</v>
      </c>
    </row>
    <row r="58" spans="2:15" ht="15">
      <c r="B58" s="299">
        <v>2</v>
      </c>
      <c r="C58" s="58" t="s">
        <v>75</v>
      </c>
      <c r="D58" s="59"/>
      <c r="E58" s="60"/>
      <c r="F58" s="301">
        <f t="shared" ref="F58:F63" si="39">I46</f>
        <v>290.18101913699996</v>
      </c>
      <c r="G58" s="62"/>
      <c r="H58" s="61"/>
      <c r="I58" s="168">
        <f t="shared" si="37"/>
        <v>290.18101913699996</v>
      </c>
      <c r="J58" s="61">
        <f t="shared" ref="J58:J63" si="40">M46</f>
        <v>27.842923828999997</v>
      </c>
      <c r="K58" s="169">
        <v>8.7925022619999975</v>
      </c>
      <c r="L58" s="61"/>
      <c r="M58" s="168">
        <f t="shared" ref="M58:M60" si="41">J58+K58-L58</f>
        <v>36.635426090999992</v>
      </c>
      <c r="N58" s="168">
        <f t="shared" si="38"/>
        <v>262.33809530799999</v>
      </c>
      <c r="O58" s="168">
        <f t="shared" ref="O58:O60" si="42">I58-M58</f>
        <v>253.54559304599996</v>
      </c>
    </row>
    <row r="59" spans="2:15" ht="15">
      <c r="B59" s="299">
        <v>3</v>
      </c>
      <c r="C59" s="64" t="s">
        <v>872</v>
      </c>
      <c r="D59" s="59"/>
      <c r="E59" s="60"/>
      <c r="F59" s="301">
        <f t="shared" si="39"/>
        <v>2156.5537573080001</v>
      </c>
      <c r="G59" s="62"/>
      <c r="H59" s="61"/>
      <c r="I59" s="168">
        <f t="shared" si="37"/>
        <v>2156.5537573080001</v>
      </c>
      <c r="J59" s="61">
        <f t="shared" si="40"/>
        <v>237.24244069400001</v>
      </c>
      <c r="K59" s="169">
        <f>55.7+24.3436</f>
        <v>80.043599999999998</v>
      </c>
      <c r="L59" s="61"/>
      <c r="M59" s="168">
        <f t="shared" si="41"/>
        <v>317.28604069400001</v>
      </c>
      <c r="N59" s="168">
        <f t="shared" si="38"/>
        <v>1919.3113166140001</v>
      </c>
      <c r="O59" s="168">
        <f t="shared" si="42"/>
        <v>1839.2677166140002</v>
      </c>
    </row>
    <row r="60" spans="2:15" ht="15">
      <c r="B60" s="299">
        <f>+B59+1</f>
        <v>4</v>
      </c>
      <c r="C60" s="64" t="s">
        <v>825</v>
      </c>
      <c r="D60" s="59"/>
      <c r="E60" s="65"/>
      <c r="F60" s="301">
        <f t="shared" si="39"/>
        <v>7270.7648204890011</v>
      </c>
      <c r="G60" s="62"/>
      <c r="H60" s="63"/>
      <c r="I60" s="168">
        <f t="shared" si="37"/>
        <v>7270.7648204890011</v>
      </c>
      <c r="J60" s="61">
        <f t="shared" si="40"/>
        <v>830.5731153270001</v>
      </c>
      <c r="K60" s="169">
        <f>250.24+15.2584</f>
        <v>265.4984</v>
      </c>
      <c r="L60" s="61"/>
      <c r="M60" s="168">
        <f t="shared" si="41"/>
        <v>1096.071515327</v>
      </c>
      <c r="N60" s="168">
        <f t="shared" si="38"/>
        <v>6440.1917051620012</v>
      </c>
      <c r="O60" s="168">
        <f t="shared" si="42"/>
        <v>6174.6933051620008</v>
      </c>
    </row>
    <row r="61" spans="2:15" ht="15">
      <c r="B61" s="299">
        <f>+B60+1</f>
        <v>5</v>
      </c>
      <c r="C61" s="64" t="s">
        <v>826</v>
      </c>
      <c r="D61" s="59"/>
      <c r="E61" s="300"/>
      <c r="F61" s="301">
        <f t="shared" si="39"/>
        <v>9.5637374680000011</v>
      </c>
      <c r="G61" s="62"/>
      <c r="H61" s="61"/>
      <c r="I61" s="168">
        <f t="shared" si="37"/>
        <v>9.5637374680000011</v>
      </c>
      <c r="J61" s="61">
        <f t="shared" si="40"/>
        <v>8.3805376139999996</v>
      </c>
      <c r="K61" s="169">
        <v>0.35411963199999996</v>
      </c>
      <c r="L61" s="61"/>
      <c r="M61" s="168">
        <f>J61+K61-L61</f>
        <v>8.7346572459999994</v>
      </c>
      <c r="N61" s="168">
        <f t="shared" si="38"/>
        <v>1.1831998540000015</v>
      </c>
      <c r="O61" s="168">
        <f>I61-M61</f>
        <v>0.82908022200000175</v>
      </c>
    </row>
    <row r="62" spans="2:15" ht="15">
      <c r="B62" s="299">
        <f>+B61+1</f>
        <v>6</v>
      </c>
      <c r="C62" s="64" t="s">
        <v>827</v>
      </c>
      <c r="D62" s="59"/>
      <c r="E62" s="60"/>
      <c r="F62" s="301">
        <f t="shared" si="39"/>
        <v>0.80131040500000006</v>
      </c>
      <c r="G62" s="62"/>
      <c r="H62" s="61"/>
      <c r="I62" s="168">
        <f t="shared" si="37"/>
        <v>0.80131040500000006</v>
      </c>
      <c r="J62" s="61">
        <f t="shared" si="40"/>
        <v>0.30968385700000001</v>
      </c>
      <c r="K62" s="169">
        <v>9.6523493000000016E-2</v>
      </c>
      <c r="L62" s="61"/>
      <c r="M62" s="168">
        <f t="shared" ref="M62:M63" si="43">J62+K62-L62</f>
        <v>0.40620735000000002</v>
      </c>
      <c r="N62" s="168">
        <f t="shared" si="38"/>
        <v>0.49162654800000005</v>
      </c>
      <c r="O62" s="168">
        <f t="shared" ref="O62:O63" si="44">I62-M62</f>
        <v>0.39510305500000004</v>
      </c>
    </row>
    <row r="63" spans="2:15" ht="15">
      <c r="B63" s="299">
        <f>+B62+1</f>
        <v>7</v>
      </c>
      <c r="C63" s="64" t="s">
        <v>828</v>
      </c>
      <c r="D63" s="59"/>
      <c r="E63" s="60"/>
      <c r="F63" s="301">
        <f t="shared" si="39"/>
        <v>43.663324641999999</v>
      </c>
      <c r="G63" s="62"/>
      <c r="H63" s="61"/>
      <c r="I63" s="168">
        <f t="shared" si="37"/>
        <v>43.663324641999999</v>
      </c>
      <c r="J63" s="61">
        <f t="shared" si="40"/>
        <v>25.495390431000001</v>
      </c>
      <c r="K63" s="169">
        <v>7.7075246150000023</v>
      </c>
      <c r="L63" s="61"/>
      <c r="M63" s="168">
        <f t="shared" si="43"/>
        <v>33.202915046000001</v>
      </c>
      <c r="N63" s="168">
        <f t="shared" si="38"/>
        <v>18.167934210999999</v>
      </c>
      <c r="O63" s="168">
        <f t="shared" si="44"/>
        <v>10.460409595999998</v>
      </c>
    </row>
    <row r="64" spans="2:15" ht="15.75" thickBot="1">
      <c r="B64" s="66"/>
      <c r="C64" s="67" t="s">
        <v>78</v>
      </c>
      <c r="D64" s="67"/>
      <c r="E64" s="170">
        <f>IFERROR((K64-L64)/AVERAGE(F64,I64),0)</f>
        <v>3.5318154714348633E-2</v>
      </c>
      <c r="F64" s="306">
        <f>ROUND(SUM(F57:F63),2)</f>
        <v>10263.56</v>
      </c>
      <c r="G64" s="171">
        <f>SUM(G57:G63)</f>
        <v>0</v>
      </c>
      <c r="H64" s="171">
        <f t="shared" ref="H64" si="45">SUM(H57:H63)</f>
        <v>0</v>
      </c>
      <c r="I64" s="171">
        <f>ROUND(SUM(I57:I63),2)</f>
        <v>10263.56</v>
      </c>
      <c r="J64" s="171">
        <f>ROUND(SUM(J57:J63),2)</f>
        <v>1129.8399999999999</v>
      </c>
      <c r="K64" s="171">
        <f>ROUND(SUM(K57:K63),2)</f>
        <v>362.49</v>
      </c>
      <c r="L64" s="171">
        <f t="shared" ref="L64" si="46">SUM(L57:L63)</f>
        <v>0</v>
      </c>
      <c r="M64" s="171">
        <f>ROUND(SUM(M57:M63),2)</f>
        <v>1492.34</v>
      </c>
      <c r="N64" s="171">
        <f>ROUND(SUM(N57:N63),2)</f>
        <v>9133.7199999999993</v>
      </c>
      <c r="O64" s="169">
        <f>ROUND(SUM(O57:O63),2)</f>
        <v>8771.23</v>
      </c>
    </row>
    <row r="66" spans="6:7">
      <c r="F66" s="124"/>
      <c r="G66" s="124"/>
    </row>
  </sheetData>
  <mergeCells count="40">
    <mergeCell ref="B54:O54"/>
    <mergeCell ref="B55:B56"/>
    <mergeCell ref="C55:C56"/>
    <mergeCell ref="D55:D56"/>
    <mergeCell ref="E55:E56"/>
    <mergeCell ref="F55:I55"/>
    <mergeCell ref="J55:M55"/>
    <mergeCell ref="N55:O55"/>
    <mergeCell ref="B42:O42"/>
    <mergeCell ref="B43:B44"/>
    <mergeCell ref="C43:C44"/>
    <mergeCell ref="D43:D44"/>
    <mergeCell ref="E43:E44"/>
    <mergeCell ref="F43:I43"/>
    <mergeCell ref="J43:M43"/>
    <mergeCell ref="N43:O43"/>
    <mergeCell ref="B30:O30"/>
    <mergeCell ref="B31:B32"/>
    <mergeCell ref="C31:C32"/>
    <mergeCell ref="D31:D32"/>
    <mergeCell ref="E31:E32"/>
    <mergeCell ref="F31:I31"/>
    <mergeCell ref="J31:M31"/>
    <mergeCell ref="N31:O31"/>
    <mergeCell ref="B6:O6"/>
    <mergeCell ref="J19:M19"/>
    <mergeCell ref="N19:O19"/>
    <mergeCell ref="B18:O18"/>
    <mergeCell ref="B7:B8"/>
    <mergeCell ref="C7:C8"/>
    <mergeCell ref="D7:D8"/>
    <mergeCell ref="E7:E8"/>
    <mergeCell ref="F7:I7"/>
    <mergeCell ref="J7:M7"/>
    <mergeCell ref="N7:O7"/>
    <mergeCell ref="B19:B20"/>
    <mergeCell ref="C19:C20"/>
    <mergeCell ref="D19:D20"/>
    <mergeCell ref="E19:E20"/>
    <mergeCell ref="F19:I19"/>
  </mergeCells>
  <pageMargins left="0.52" right="0.25" top="0.25" bottom="0.25" header="0.25" footer="0.25"/>
  <pageSetup paperSize="9" scale="65" fitToHeight="0" orientation="landscape" r:id="rId1"/>
  <headerFooter alignWithMargins="0"/>
  <rowBreaks count="1" manualBreakCount="1">
    <brk id="41" min="1" max="14" man="1"/>
  </rowBreaks>
</worksheet>
</file>

<file path=xl/worksheets/sheet9.xml><?xml version="1.0" encoding="utf-8"?>
<worksheet xmlns="http://schemas.openxmlformats.org/spreadsheetml/2006/main" xmlns:r="http://schemas.openxmlformats.org/officeDocument/2006/relationships">
  <sheetPr>
    <pageSetUpPr fitToPage="1"/>
  </sheetPr>
  <dimension ref="B1:L91"/>
  <sheetViews>
    <sheetView view="pageBreakPreview" zoomScale="80" zoomScaleSheetLayoutView="80" workbookViewId="0">
      <selection activeCell="L24" sqref="L24"/>
    </sheetView>
  </sheetViews>
  <sheetFormatPr defaultRowHeight="14.25"/>
  <cols>
    <col min="1" max="1" width="2.7109375" style="5" customWidth="1"/>
    <col min="2" max="2" width="6.28515625" style="5" customWidth="1"/>
    <col min="3" max="3" width="56.7109375" style="5" customWidth="1"/>
    <col min="4" max="4" width="15.28515625" style="5" customWidth="1"/>
    <col min="5" max="5" width="14.28515625" style="5" customWidth="1"/>
    <col min="6" max="6" width="16.42578125" style="5" customWidth="1"/>
    <col min="7" max="7" width="15.7109375" style="5" customWidth="1"/>
    <col min="8" max="8" width="13.7109375" style="5" customWidth="1"/>
    <col min="9" max="9" width="13.28515625" style="5" bestFit="1" customWidth="1"/>
    <col min="10" max="10" width="12.5703125" style="5" customWidth="1"/>
    <col min="11" max="11" width="11.7109375" style="5" bestFit="1" customWidth="1"/>
    <col min="12" max="13" width="14.42578125" style="5" bestFit="1" customWidth="1"/>
    <col min="14" max="16" width="11.7109375" style="5" bestFit="1" customWidth="1"/>
    <col min="17" max="16384" width="9.140625" style="5"/>
  </cols>
  <sheetData>
    <row r="1" spans="2:12" ht="15">
      <c r="B1" s="29"/>
    </row>
    <row r="2" spans="2:12" ht="14.25" customHeight="1">
      <c r="B2" s="553" t="s">
        <v>678</v>
      </c>
      <c r="C2" s="553"/>
      <c r="D2" s="553"/>
      <c r="E2" s="553"/>
      <c r="F2" s="553"/>
      <c r="G2" s="553"/>
      <c r="H2" s="553"/>
      <c r="I2" s="42"/>
      <c r="J2" s="42"/>
    </row>
    <row r="3" spans="2:12" ht="14.25" customHeight="1">
      <c r="B3" s="553" t="s">
        <v>948</v>
      </c>
      <c r="C3" s="553"/>
      <c r="D3" s="553"/>
      <c r="E3" s="553"/>
      <c r="F3" s="553"/>
      <c r="G3" s="553"/>
      <c r="H3" s="553"/>
      <c r="I3" s="42"/>
      <c r="J3" s="42"/>
    </row>
    <row r="4" spans="2:12" ht="14.25" customHeight="1">
      <c r="B4" s="554" t="s">
        <v>1075</v>
      </c>
      <c r="C4" s="554"/>
      <c r="D4" s="554"/>
      <c r="E4" s="554"/>
      <c r="F4" s="554"/>
      <c r="G4" s="554"/>
      <c r="H4" s="554"/>
      <c r="I4" s="38"/>
      <c r="J4" s="38"/>
    </row>
    <row r="5" spans="2:12" ht="15">
      <c r="B5" s="39" t="s">
        <v>60</v>
      </c>
      <c r="C5" s="29" t="s">
        <v>1076</v>
      </c>
      <c r="D5" s="30"/>
      <c r="E5" s="30"/>
      <c r="G5" s="30"/>
      <c r="H5" s="30"/>
      <c r="I5" s="30"/>
      <c r="J5" s="30"/>
      <c r="K5" s="30"/>
      <c r="L5" s="30"/>
    </row>
    <row r="6" spans="2:12" ht="15">
      <c r="H6" s="31" t="s">
        <v>4</v>
      </c>
    </row>
    <row r="7" spans="2:12" s="18" customFormat="1" ht="30">
      <c r="B7" s="373" t="s">
        <v>360</v>
      </c>
      <c r="C7" s="19" t="s">
        <v>14</v>
      </c>
      <c r="D7" s="187" t="s">
        <v>668</v>
      </c>
      <c r="E7" s="187" t="s">
        <v>669</v>
      </c>
      <c r="F7" s="20" t="s">
        <v>670</v>
      </c>
      <c r="G7" s="20" t="s">
        <v>671</v>
      </c>
      <c r="H7" s="20" t="s">
        <v>672</v>
      </c>
    </row>
    <row r="8" spans="2:12" s="18" customFormat="1" ht="15">
      <c r="B8" s="374"/>
      <c r="C8" s="25"/>
      <c r="D8" s="20"/>
      <c r="E8" s="20" t="s">
        <v>5</v>
      </c>
      <c r="F8" s="20" t="s">
        <v>8</v>
      </c>
      <c r="G8" s="20" t="s">
        <v>8</v>
      </c>
      <c r="H8" s="20" t="s">
        <v>8</v>
      </c>
    </row>
    <row r="9" spans="2:12">
      <c r="B9" s="55">
        <v>1</v>
      </c>
      <c r="C9" s="69" t="s">
        <v>1099</v>
      </c>
      <c r="D9" s="177">
        <f>'F4'!F16*0.75</f>
        <v>6953.9849999999997</v>
      </c>
      <c r="E9" s="182">
        <f>D9+D13</f>
        <v>6955.1354999999994</v>
      </c>
      <c r="F9" s="182">
        <f>E9+E13</f>
        <v>7697.6729999999989</v>
      </c>
      <c r="G9" s="182">
        <f>F9+F13</f>
        <v>7697.6729999999989</v>
      </c>
      <c r="H9" s="182">
        <f>G9+G13</f>
        <v>7697.6729999999989</v>
      </c>
    </row>
    <row r="10" spans="2:12">
      <c r="B10" s="25">
        <f>B9+1</f>
        <v>2</v>
      </c>
      <c r="C10" s="32" t="s">
        <v>1077</v>
      </c>
      <c r="D10" s="177"/>
      <c r="E10" s="182">
        <f>D14</f>
        <v>54.36</v>
      </c>
      <c r="F10" s="182">
        <f>E10+E14</f>
        <v>400.67</v>
      </c>
      <c r="G10" s="182">
        <f t="shared" ref="G10:H10" si="0">F10+F14</f>
        <v>766.52</v>
      </c>
      <c r="H10" s="182">
        <f t="shared" si="0"/>
        <v>1129.8399999999999</v>
      </c>
    </row>
    <row r="11" spans="2:12" ht="15">
      <c r="B11" s="25">
        <f t="shared" ref="B11:B21" si="1">B10+1</f>
        <v>3</v>
      </c>
      <c r="C11" s="34" t="s">
        <v>1078</v>
      </c>
      <c r="D11" s="167">
        <f t="shared" ref="D11:H11" si="2">D9-D10</f>
        <v>6953.9849999999997</v>
      </c>
      <c r="E11" s="167">
        <f t="shared" si="2"/>
        <v>6900.7754999999997</v>
      </c>
      <c r="F11" s="167">
        <f>F9-F10</f>
        <v>7297.0029999999988</v>
      </c>
      <c r="G11" s="167">
        <f t="shared" si="2"/>
        <v>6931.1529999999984</v>
      </c>
      <c r="H11" s="167">
        <f t="shared" si="2"/>
        <v>6567.8329999999987</v>
      </c>
    </row>
    <row r="12" spans="2:12" ht="28.5">
      <c r="B12" s="25">
        <f t="shared" si="1"/>
        <v>4</v>
      </c>
      <c r="C12" s="69" t="s">
        <v>1079</v>
      </c>
      <c r="D12" s="174"/>
      <c r="E12" s="174"/>
      <c r="F12" s="174"/>
      <c r="G12" s="174"/>
      <c r="H12" s="174"/>
    </row>
    <row r="13" spans="2:12" s="38" customFormat="1" ht="28.5">
      <c r="B13" s="25">
        <f t="shared" si="1"/>
        <v>5</v>
      </c>
      <c r="C13" s="43" t="s">
        <v>1080</v>
      </c>
      <c r="D13" s="177">
        <f>'F4'!G16*0.75</f>
        <v>1.1505000000000001</v>
      </c>
      <c r="E13" s="182">
        <f>'F4'!G28*0.75</f>
        <v>742.53749999999991</v>
      </c>
      <c r="F13" s="182">
        <f>'F4'!G40</f>
        <v>0</v>
      </c>
      <c r="G13" s="182">
        <f>'F4'!G52</f>
        <v>0</v>
      </c>
      <c r="H13" s="182">
        <f>'F4'!G64</f>
        <v>0</v>
      </c>
    </row>
    <row r="14" spans="2:12">
      <c r="B14" s="25">
        <f t="shared" si="1"/>
        <v>6</v>
      </c>
      <c r="C14" s="69" t="s">
        <v>1081</v>
      </c>
      <c r="D14" s="465">
        <f>'F4'!K16</f>
        <v>54.36</v>
      </c>
      <c r="E14" s="465">
        <f>'F4'!K28</f>
        <v>346.31</v>
      </c>
      <c r="F14" s="465">
        <f>'F4'!K40</f>
        <v>365.85</v>
      </c>
      <c r="G14" s="465">
        <f>'F4'!K52</f>
        <v>363.32</v>
      </c>
      <c r="H14" s="465">
        <f>'F4'!K64</f>
        <v>362.49</v>
      </c>
    </row>
    <row r="15" spans="2:12" ht="15">
      <c r="B15" s="25">
        <f t="shared" si="1"/>
        <v>7</v>
      </c>
      <c r="C15" s="32" t="s">
        <v>1082</v>
      </c>
      <c r="D15" s="167">
        <f t="shared" ref="D15:H15" si="3">D11-D12+D13-D14</f>
        <v>6900.7754999999997</v>
      </c>
      <c r="E15" s="167">
        <f t="shared" si="3"/>
        <v>7297.0029999999997</v>
      </c>
      <c r="F15" s="167">
        <f t="shared" si="3"/>
        <v>6931.1529999999984</v>
      </c>
      <c r="G15" s="167">
        <f t="shared" si="3"/>
        <v>6567.8329999999987</v>
      </c>
      <c r="H15" s="167">
        <f t="shared" si="3"/>
        <v>6205.3429999999989</v>
      </c>
    </row>
    <row r="16" spans="2:12" ht="15">
      <c r="B16" s="25">
        <f t="shared" si="1"/>
        <v>8</v>
      </c>
      <c r="C16" s="32" t="s">
        <v>1083</v>
      </c>
      <c r="D16" s="167">
        <f t="shared" ref="D16:H16" si="4">D9-D12+D13-D14</f>
        <v>6900.7754999999997</v>
      </c>
      <c r="E16" s="167">
        <f t="shared" si="4"/>
        <v>7351.3629999999985</v>
      </c>
      <c r="F16" s="167">
        <f t="shared" si="4"/>
        <v>7331.8229999999985</v>
      </c>
      <c r="G16" s="167">
        <f t="shared" si="4"/>
        <v>7334.3529999999992</v>
      </c>
      <c r="H16" s="167">
        <f t="shared" si="4"/>
        <v>7335.1829999999991</v>
      </c>
    </row>
    <row r="17" spans="2:9" ht="15">
      <c r="B17" s="25">
        <f t="shared" si="1"/>
        <v>9</v>
      </c>
      <c r="C17" s="32" t="s">
        <v>1084</v>
      </c>
      <c r="D17" s="167">
        <f t="shared" ref="D17:H17" si="5">AVERAGE(D11,D15)</f>
        <v>6927.3802500000002</v>
      </c>
      <c r="E17" s="167">
        <f t="shared" si="5"/>
        <v>7098.8892500000002</v>
      </c>
      <c r="F17" s="167">
        <f t="shared" si="5"/>
        <v>7114.0779999999986</v>
      </c>
      <c r="G17" s="167">
        <f t="shared" si="5"/>
        <v>6749.4929999999986</v>
      </c>
      <c r="H17" s="167">
        <f t="shared" si="5"/>
        <v>6386.5879999999988</v>
      </c>
    </row>
    <row r="18" spans="2:9">
      <c r="B18" s="25">
        <f t="shared" si="1"/>
        <v>10</v>
      </c>
      <c r="C18" s="69" t="s">
        <v>1085</v>
      </c>
      <c r="D18" s="173">
        <f>D88</f>
        <v>0.1086</v>
      </c>
      <c r="E18" s="173">
        <v>0.1072</v>
      </c>
      <c r="F18" s="173">
        <v>0.10680000000000001</v>
      </c>
      <c r="G18" s="173">
        <v>0.1067</v>
      </c>
      <c r="H18" s="480">
        <v>0.1066</v>
      </c>
    </row>
    <row r="19" spans="2:9" ht="15">
      <c r="B19" s="25">
        <f t="shared" si="1"/>
        <v>11</v>
      </c>
      <c r="C19" s="32" t="s">
        <v>457</v>
      </c>
      <c r="D19" s="167">
        <f>D17*D18</f>
        <v>752.31349514999999</v>
      </c>
      <c r="E19" s="167">
        <f t="shared" ref="E19:H19" si="6">E17*E18</f>
        <v>761.00092760000007</v>
      </c>
      <c r="F19" s="167">
        <f t="shared" si="6"/>
        <v>759.7835303999999</v>
      </c>
      <c r="G19" s="167">
        <f t="shared" si="6"/>
        <v>720.17090309999992</v>
      </c>
      <c r="H19" s="167">
        <f t="shared" si="6"/>
        <v>680.81028079999987</v>
      </c>
    </row>
    <row r="20" spans="2:9">
      <c r="B20" s="25">
        <f t="shared" si="1"/>
        <v>12</v>
      </c>
      <c r="C20" s="32" t="s">
        <v>458</v>
      </c>
      <c r="D20" s="70"/>
      <c r="E20" s="70"/>
      <c r="F20" s="70"/>
      <c r="G20" s="70"/>
      <c r="H20" s="70"/>
    </row>
    <row r="21" spans="2:9" ht="15">
      <c r="B21" s="25">
        <f t="shared" si="1"/>
        <v>13</v>
      </c>
      <c r="C21" s="32" t="s">
        <v>459</v>
      </c>
      <c r="D21" s="167">
        <f>ROUND(D19+D20,2)</f>
        <v>752.31</v>
      </c>
      <c r="E21" s="167">
        <f>ROUND(E19+E20,2)</f>
        <v>761</v>
      </c>
      <c r="F21" s="167">
        <f>ROUND(F19+F20,2)</f>
        <v>759.78</v>
      </c>
      <c r="G21" s="167">
        <f>ROUND(G19+G20,2)</f>
        <v>720.17</v>
      </c>
      <c r="H21" s="167">
        <f>ROUND(H19+H20,2)</f>
        <v>680.81</v>
      </c>
    </row>
    <row r="22" spans="2:9" ht="15">
      <c r="B22" s="25">
        <v>14</v>
      </c>
      <c r="C22" s="32" t="s">
        <v>1086</v>
      </c>
      <c r="D22" s="165">
        <f>ROUND(D21*65/365,2)</f>
        <v>133.97</v>
      </c>
      <c r="E22" s="165">
        <f>E21</f>
        <v>761</v>
      </c>
      <c r="F22" s="165">
        <f t="shared" ref="F22:H22" si="7">F21</f>
        <v>759.78</v>
      </c>
      <c r="G22" s="165">
        <f t="shared" si="7"/>
        <v>720.17</v>
      </c>
      <c r="H22" s="165">
        <f t="shared" si="7"/>
        <v>680.81</v>
      </c>
      <c r="I22" s="124"/>
    </row>
    <row r="23" spans="2:9">
      <c r="B23" s="40"/>
      <c r="C23" s="5" t="s">
        <v>425</v>
      </c>
    </row>
    <row r="24" spans="2:9">
      <c r="C24" s="5" t="s">
        <v>667</v>
      </c>
    </row>
    <row r="25" spans="2:9" ht="15">
      <c r="B25" s="39" t="s">
        <v>64</v>
      </c>
      <c r="C25" s="29" t="s">
        <v>1087</v>
      </c>
    </row>
    <row r="26" spans="2:9" ht="15" customHeight="1">
      <c r="B26" s="543" t="s">
        <v>360</v>
      </c>
      <c r="C26" s="551" t="s">
        <v>14</v>
      </c>
      <c r="D26" s="187" t="s">
        <v>668</v>
      </c>
      <c r="E26" s="187" t="s">
        <v>669</v>
      </c>
      <c r="F26" s="288" t="s">
        <v>670</v>
      </c>
      <c r="G26" s="463" t="s">
        <v>671</v>
      </c>
      <c r="H26" s="464" t="s">
        <v>672</v>
      </c>
    </row>
    <row r="27" spans="2:9" ht="15">
      <c r="B27" s="549"/>
      <c r="C27" s="551"/>
      <c r="D27" s="20" t="s">
        <v>422</v>
      </c>
      <c r="E27" s="20" t="s">
        <v>422</v>
      </c>
      <c r="F27" s="20" t="s">
        <v>422</v>
      </c>
      <c r="G27" s="20" t="s">
        <v>422</v>
      </c>
      <c r="H27" s="20" t="s">
        <v>422</v>
      </c>
    </row>
    <row r="28" spans="2:9" ht="15">
      <c r="B28" s="550"/>
      <c r="C28" s="552"/>
      <c r="D28" s="20" t="s">
        <v>12</v>
      </c>
      <c r="E28" s="20" t="s">
        <v>3</v>
      </c>
      <c r="F28" s="20" t="s">
        <v>5</v>
      </c>
      <c r="G28" s="20" t="s">
        <v>5</v>
      </c>
      <c r="H28" s="20" t="s">
        <v>8</v>
      </c>
    </row>
    <row r="29" spans="2:9" ht="15">
      <c r="B29" s="25">
        <v>1</v>
      </c>
      <c r="C29" s="45" t="s">
        <v>1088</v>
      </c>
      <c r="D29" s="32"/>
      <c r="E29" s="32"/>
      <c r="F29" s="32"/>
      <c r="G29" s="32"/>
      <c r="H29" s="32"/>
    </row>
    <row r="30" spans="2:9">
      <c r="B30" s="32"/>
      <c r="C30" s="32" t="s">
        <v>13</v>
      </c>
      <c r="D30" s="175">
        <v>13798.89</v>
      </c>
      <c r="E30" s="175">
        <f>D33</f>
        <v>14104.83</v>
      </c>
      <c r="F30" s="175">
        <f>E33</f>
        <v>14110.33</v>
      </c>
      <c r="G30" s="175">
        <f>F33</f>
        <v>14110.33</v>
      </c>
      <c r="H30" s="175">
        <f>G33</f>
        <v>13639.99</v>
      </c>
    </row>
    <row r="31" spans="2:9">
      <c r="B31" s="32"/>
      <c r="C31" s="32" t="s">
        <v>1089</v>
      </c>
      <c r="D31" s="175">
        <v>305.94</v>
      </c>
      <c r="E31" s="175">
        <v>5.5</v>
      </c>
      <c r="F31" s="175">
        <v>0</v>
      </c>
      <c r="G31" s="175">
        <v>0</v>
      </c>
      <c r="H31" s="175">
        <v>0</v>
      </c>
    </row>
    <row r="32" spans="2:9">
      <c r="B32" s="32"/>
      <c r="C32" s="32" t="s">
        <v>1090</v>
      </c>
      <c r="D32" s="175">
        <v>0</v>
      </c>
      <c r="E32" s="175">
        <v>0</v>
      </c>
      <c r="F32" s="175">
        <v>0</v>
      </c>
      <c r="G32" s="175">
        <v>470.34</v>
      </c>
      <c r="H32" s="175">
        <v>940.69</v>
      </c>
    </row>
    <row r="33" spans="2:8" ht="15">
      <c r="B33" s="32"/>
      <c r="C33" s="32" t="s">
        <v>1091</v>
      </c>
      <c r="D33" s="180">
        <f t="shared" ref="D33:H33" si="8">D30+D31-D32</f>
        <v>14104.83</v>
      </c>
      <c r="E33" s="180">
        <f t="shared" si="8"/>
        <v>14110.33</v>
      </c>
      <c r="F33" s="180">
        <f t="shared" si="8"/>
        <v>14110.33</v>
      </c>
      <c r="G33" s="180">
        <f t="shared" si="8"/>
        <v>13639.99</v>
      </c>
      <c r="H33" s="180">
        <f t="shared" si="8"/>
        <v>12699.3</v>
      </c>
    </row>
    <row r="34" spans="2:8">
      <c r="B34" s="32"/>
      <c r="C34" s="32" t="s">
        <v>1092</v>
      </c>
      <c r="D34" s="175">
        <f>D38/D35</f>
        <v>14024.007386888274</v>
      </c>
      <c r="E34" s="175">
        <f>E36/E35</f>
        <v>14109.686098654709</v>
      </c>
      <c r="F34" s="175">
        <f t="shared" ref="F34:H34" si="9">F36/F35</f>
        <v>14110.313901345291</v>
      </c>
      <c r="G34" s="175">
        <f t="shared" si="9"/>
        <v>14051.569506726457</v>
      </c>
      <c r="H34" s="175">
        <f t="shared" si="9"/>
        <v>13287.264573991031</v>
      </c>
    </row>
    <row r="35" spans="2:8">
      <c r="B35" s="32"/>
      <c r="C35" s="32" t="s">
        <v>1093</v>
      </c>
      <c r="D35" s="466">
        <v>0.10829999999999999</v>
      </c>
      <c r="E35" s="466">
        <v>0.1115</v>
      </c>
      <c r="F35" s="466">
        <v>0.1115</v>
      </c>
      <c r="G35" s="466">
        <v>0.1115</v>
      </c>
      <c r="H35" s="466">
        <v>0.1115</v>
      </c>
    </row>
    <row r="36" spans="2:8">
      <c r="B36" s="32"/>
      <c r="C36" s="32" t="s">
        <v>457</v>
      </c>
      <c r="D36" s="175">
        <v>1518.8</v>
      </c>
      <c r="E36" s="175">
        <v>1573.23</v>
      </c>
      <c r="F36" s="175">
        <v>1573.3</v>
      </c>
      <c r="G36" s="175">
        <v>1566.75</v>
      </c>
      <c r="H36" s="175">
        <v>1481.53</v>
      </c>
    </row>
    <row r="37" spans="2:8">
      <c r="B37" s="32"/>
      <c r="C37" s="32" t="s">
        <v>458</v>
      </c>
      <c r="D37" s="175">
        <v>0</v>
      </c>
      <c r="E37" s="175">
        <v>0</v>
      </c>
      <c r="F37" s="175">
        <v>0</v>
      </c>
      <c r="G37" s="175">
        <v>0</v>
      </c>
      <c r="H37" s="175">
        <v>0</v>
      </c>
    </row>
    <row r="38" spans="2:8" ht="15">
      <c r="B38" s="32"/>
      <c r="C38" s="32" t="s">
        <v>459</v>
      </c>
      <c r="D38" s="180">
        <f>D36+D37</f>
        <v>1518.8</v>
      </c>
      <c r="E38" s="180">
        <f t="shared" ref="E38:H38" si="10">E36+E37</f>
        <v>1573.23</v>
      </c>
      <c r="F38" s="180">
        <f t="shared" si="10"/>
        <v>1573.3</v>
      </c>
      <c r="G38" s="180">
        <f>G36+G37</f>
        <v>1566.75</v>
      </c>
      <c r="H38" s="180">
        <f t="shared" si="10"/>
        <v>1481.53</v>
      </c>
    </row>
    <row r="39" spans="2:8" ht="15">
      <c r="B39" s="25">
        <v>2</v>
      </c>
      <c r="C39" s="45" t="s">
        <v>1094</v>
      </c>
      <c r="D39" s="175"/>
      <c r="E39" s="175"/>
      <c r="F39" s="175"/>
      <c r="G39" s="175"/>
      <c r="H39" s="175"/>
    </row>
    <row r="40" spans="2:8">
      <c r="B40" s="32"/>
      <c r="C40" s="32" t="s">
        <v>13</v>
      </c>
      <c r="D40" s="175">
        <v>4008.87</v>
      </c>
      <c r="E40" s="175">
        <f>D43</f>
        <v>4008.87</v>
      </c>
      <c r="F40" s="175">
        <f t="shared" ref="F40:H40" si="11">E43</f>
        <v>3942.06</v>
      </c>
      <c r="G40" s="175">
        <f t="shared" si="11"/>
        <v>3674.8</v>
      </c>
      <c r="H40" s="175">
        <f t="shared" si="11"/>
        <v>3407.54</v>
      </c>
    </row>
    <row r="41" spans="2:8">
      <c r="B41" s="32"/>
      <c r="C41" s="32" t="s">
        <v>1089</v>
      </c>
      <c r="D41" s="175">
        <v>0</v>
      </c>
      <c r="E41" s="175">
        <v>0</v>
      </c>
      <c r="F41" s="175">
        <v>0</v>
      </c>
      <c r="G41" s="175">
        <v>0</v>
      </c>
      <c r="H41" s="175">
        <v>0</v>
      </c>
    </row>
    <row r="42" spans="2:8">
      <c r="B42" s="32"/>
      <c r="C42" s="32" t="s">
        <v>1090</v>
      </c>
      <c r="D42" s="175">
        <v>0</v>
      </c>
      <c r="E42" s="175">
        <v>66.81</v>
      </c>
      <c r="F42" s="175">
        <v>267.26</v>
      </c>
      <c r="G42" s="175">
        <v>267.26</v>
      </c>
      <c r="H42" s="175">
        <v>267.26</v>
      </c>
    </row>
    <row r="43" spans="2:8" ht="15">
      <c r="B43" s="32"/>
      <c r="C43" s="32" t="s">
        <v>1091</v>
      </c>
      <c r="D43" s="166">
        <f>D40+D41-D42</f>
        <v>4008.87</v>
      </c>
      <c r="E43" s="166">
        <f t="shared" ref="E43:H43" si="12">E40+E41-E42</f>
        <v>3942.06</v>
      </c>
      <c r="F43" s="166">
        <f t="shared" si="12"/>
        <v>3674.8</v>
      </c>
      <c r="G43" s="166">
        <f t="shared" si="12"/>
        <v>3407.54</v>
      </c>
      <c r="H43" s="166">
        <f t="shared" si="12"/>
        <v>3140.2799999999997</v>
      </c>
    </row>
    <row r="44" spans="2:8" ht="15">
      <c r="B44" s="32"/>
      <c r="C44" s="32" t="s">
        <v>1092</v>
      </c>
      <c r="D44" s="166">
        <f>D48/D45</f>
        <v>3982.2714681440443</v>
      </c>
      <c r="E44" s="166">
        <f>E46/E45</f>
        <v>4003.5294117647063</v>
      </c>
      <c r="F44" s="166">
        <f t="shared" ref="F44:H44" si="13">F46/F45</f>
        <v>3820.294117647059</v>
      </c>
      <c r="G44" s="166">
        <f t="shared" si="13"/>
        <v>3562.4509803921574</v>
      </c>
      <c r="H44" s="166">
        <f t="shared" si="13"/>
        <v>3285.7843137254904</v>
      </c>
    </row>
    <row r="45" spans="2:8">
      <c r="B45" s="32"/>
      <c r="C45" s="32" t="s">
        <v>1093</v>
      </c>
      <c r="D45" s="467">
        <v>0.10829999999999999</v>
      </c>
      <c r="E45" s="467">
        <v>0.10199999999999999</v>
      </c>
      <c r="F45" s="467">
        <v>0.10199999999999999</v>
      </c>
      <c r="G45" s="467">
        <v>0.10199999999999999</v>
      </c>
      <c r="H45" s="467">
        <v>0.10199999999999999</v>
      </c>
    </row>
    <row r="46" spans="2:8">
      <c r="B46" s="32"/>
      <c r="C46" s="32" t="s">
        <v>457</v>
      </c>
      <c r="D46" s="175">
        <v>431.28</v>
      </c>
      <c r="E46" s="175">
        <v>408.36</v>
      </c>
      <c r="F46" s="175">
        <v>389.67</v>
      </c>
      <c r="G46" s="175">
        <v>363.37</v>
      </c>
      <c r="H46" s="175">
        <v>335.15</v>
      </c>
    </row>
    <row r="47" spans="2:8">
      <c r="B47" s="32"/>
      <c r="C47" s="32" t="s">
        <v>458</v>
      </c>
      <c r="D47" s="175">
        <v>0</v>
      </c>
      <c r="E47" s="175">
        <v>0</v>
      </c>
      <c r="F47" s="175">
        <v>0</v>
      </c>
      <c r="G47" s="175">
        <v>0</v>
      </c>
      <c r="H47" s="175">
        <v>0</v>
      </c>
    </row>
    <row r="48" spans="2:8" ht="15">
      <c r="B48" s="32"/>
      <c r="C48" s="32" t="s">
        <v>459</v>
      </c>
      <c r="D48" s="166">
        <f>D46+D47</f>
        <v>431.28</v>
      </c>
      <c r="E48" s="166">
        <f t="shared" ref="E48:H48" si="14">E46+E47</f>
        <v>408.36</v>
      </c>
      <c r="F48" s="166">
        <f t="shared" si="14"/>
        <v>389.67</v>
      </c>
      <c r="G48" s="166">
        <f t="shared" si="14"/>
        <v>363.37</v>
      </c>
      <c r="H48" s="166">
        <f t="shared" si="14"/>
        <v>335.15</v>
      </c>
    </row>
    <row r="49" spans="2:8">
      <c r="B49" s="32"/>
      <c r="C49" s="32" t="s">
        <v>1095</v>
      </c>
      <c r="D49" s="175"/>
      <c r="E49" s="175"/>
      <c r="F49" s="175"/>
      <c r="G49" s="175"/>
      <c r="H49" s="175"/>
    </row>
    <row r="50" spans="2:8" ht="15">
      <c r="B50" s="25">
        <v>3</v>
      </c>
      <c r="C50" s="45" t="s">
        <v>1096</v>
      </c>
      <c r="D50" s="175"/>
      <c r="E50" s="175"/>
      <c r="F50" s="175"/>
      <c r="G50" s="175"/>
      <c r="H50" s="175"/>
    </row>
    <row r="51" spans="2:8">
      <c r="B51" s="32"/>
      <c r="C51" s="32" t="s">
        <v>13</v>
      </c>
      <c r="D51" s="175">
        <v>940.79</v>
      </c>
      <c r="E51" s="175">
        <f>D54</f>
        <v>3157.22</v>
      </c>
      <c r="F51" s="175">
        <f t="shared" ref="F51:H51" si="15">E54</f>
        <v>6919.72</v>
      </c>
      <c r="G51" s="175">
        <f t="shared" si="15"/>
        <v>6450.59</v>
      </c>
      <c r="H51" s="175">
        <f t="shared" si="15"/>
        <v>5981.46</v>
      </c>
    </row>
    <row r="52" spans="2:8">
      <c r="B52" s="32"/>
      <c r="C52" s="32" t="s">
        <v>1089</v>
      </c>
      <c r="D52" s="175">
        <v>2216.4299999999998</v>
      </c>
      <c r="E52" s="175">
        <v>3879.78</v>
      </c>
      <c r="F52" s="175">
        <v>0</v>
      </c>
      <c r="G52" s="175">
        <v>0</v>
      </c>
      <c r="H52" s="175">
        <v>0</v>
      </c>
    </row>
    <row r="53" spans="2:8">
      <c r="B53" s="32"/>
      <c r="C53" s="32" t="s">
        <v>1090</v>
      </c>
      <c r="D53" s="175">
        <v>0</v>
      </c>
      <c r="E53" s="175">
        <v>117.28</v>
      </c>
      <c r="F53" s="175">
        <v>469.13</v>
      </c>
      <c r="G53" s="175">
        <v>469.13</v>
      </c>
      <c r="H53" s="175">
        <v>469.13</v>
      </c>
    </row>
    <row r="54" spans="2:8" ht="15">
      <c r="B54" s="32"/>
      <c r="C54" s="32" t="s">
        <v>1091</v>
      </c>
      <c r="D54" s="166">
        <f>D51+D52-D53</f>
        <v>3157.22</v>
      </c>
      <c r="E54" s="166">
        <f>E51+E52-E53</f>
        <v>6919.72</v>
      </c>
      <c r="F54" s="166">
        <f>F51+F52-F53</f>
        <v>6450.59</v>
      </c>
      <c r="G54" s="166">
        <f t="shared" ref="G54:H54" si="16">G51+G52-G53</f>
        <v>5981.46</v>
      </c>
      <c r="H54" s="166">
        <f t="shared" si="16"/>
        <v>5512.33</v>
      </c>
    </row>
    <row r="55" spans="2:8" ht="15">
      <c r="B55" s="32"/>
      <c r="C55" s="32" t="s">
        <v>1092</v>
      </c>
      <c r="D55" s="166">
        <f>D59/D56</f>
        <v>1734.0501792114696</v>
      </c>
      <c r="E55" s="166">
        <f t="shared" ref="E55:H55" si="17">E57/E56</f>
        <v>5612.6368159203985</v>
      </c>
      <c r="F55" s="166">
        <f t="shared" si="17"/>
        <v>6706.0696517412935</v>
      </c>
      <c r="G55" s="166">
        <f t="shared" si="17"/>
        <v>6253.432835820895</v>
      </c>
      <c r="H55" s="166">
        <f t="shared" si="17"/>
        <v>5767.7611940298502</v>
      </c>
    </row>
    <row r="56" spans="2:8">
      <c r="B56" s="32"/>
      <c r="C56" s="32" t="s">
        <v>1093</v>
      </c>
      <c r="D56" s="467">
        <v>0.1116</v>
      </c>
      <c r="E56" s="467">
        <v>0.10050000000000001</v>
      </c>
      <c r="F56" s="467">
        <v>0.10050000000000001</v>
      </c>
      <c r="G56" s="467">
        <v>0.10050000000000001</v>
      </c>
      <c r="H56" s="467">
        <v>0.10050000000000001</v>
      </c>
    </row>
    <row r="57" spans="2:8">
      <c r="B57" s="32"/>
      <c r="C57" s="32" t="s">
        <v>457</v>
      </c>
      <c r="D57" s="175">
        <v>193.52</v>
      </c>
      <c r="E57" s="175">
        <v>564.07000000000005</v>
      </c>
      <c r="F57" s="175">
        <v>673.96</v>
      </c>
      <c r="G57" s="175">
        <v>628.47</v>
      </c>
      <c r="H57" s="175">
        <v>579.66</v>
      </c>
    </row>
    <row r="58" spans="2:8">
      <c r="B58" s="32"/>
      <c r="C58" s="32" t="s">
        <v>458</v>
      </c>
      <c r="D58" s="175">
        <v>0</v>
      </c>
      <c r="E58" s="175">
        <v>0</v>
      </c>
      <c r="F58" s="175">
        <v>0</v>
      </c>
      <c r="G58" s="175">
        <v>0</v>
      </c>
      <c r="H58" s="175">
        <v>0</v>
      </c>
    </row>
    <row r="59" spans="2:8" ht="15">
      <c r="B59" s="32"/>
      <c r="C59" s="32" t="s">
        <v>459</v>
      </c>
      <c r="D59" s="166">
        <f>D57+D58</f>
        <v>193.52</v>
      </c>
      <c r="E59" s="166">
        <f t="shared" ref="E59:H59" si="18">E57+E58</f>
        <v>564.07000000000005</v>
      </c>
      <c r="F59" s="166">
        <f t="shared" si="18"/>
        <v>673.96</v>
      </c>
      <c r="G59" s="166">
        <f t="shared" si="18"/>
        <v>628.47</v>
      </c>
      <c r="H59" s="166">
        <f t="shared" si="18"/>
        <v>579.66</v>
      </c>
    </row>
    <row r="60" spans="2:8" ht="7.5" customHeight="1">
      <c r="B60" s="32"/>
      <c r="C60" s="32" t="s">
        <v>1095</v>
      </c>
      <c r="D60" s="175"/>
      <c r="E60" s="175"/>
      <c r="F60" s="175"/>
      <c r="G60" s="175"/>
      <c r="H60" s="175"/>
    </row>
    <row r="61" spans="2:8" ht="15">
      <c r="B61" s="25">
        <v>4</v>
      </c>
      <c r="C61" s="45" t="s">
        <v>1097</v>
      </c>
      <c r="D61" s="175"/>
      <c r="E61" s="175"/>
      <c r="F61" s="175"/>
      <c r="G61" s="175"/>
      <c r="H61" s="175"/>
    </row>
    <row r="62" spans="2:8">
      <c r="B62" s="32"/>
      <c r="C62" s="32" t="s">
        <v>13</v>
      </c>
      <c r="D62" s="175">
        <v>0</v>
      </c>
      <c r="E62" s="175">
        <v>0</v>
      </c>
      <c r="F62" s="175">
        <f>E65</f>
        <v>137.5</v>
      </c>
      <c r="G62" s="175">
        <f>F65</f>
        <v>150</v>
      </c>
      <c r="H62" s="175">
        <f>G65</f>
        <v>140</v>
      </c>
    </row>
    <row r="63" spans="2:8">
      <c r="B63" s="32"/>
      <c r="C63" s="32" t="s">
        <v>1089</v>
      </c>
      <c r="D63" s="175">
        <v>0</v>
      </c>
      <c r="E63" s="175">
        <v>137.5</v>
      </c>
      <c r="F63" s="175">
        <v>12.5</v>
      </c>
      <c r="G63" s="175">
        <v>0</v>
      </c>
      <c r="H63" s="175">
        <v>0</v>
      </c>
    </row>
    <row r="64" spans="2:8">
      <c r="B64" s="32"/>
      <c r="C64" s="32" t="s">
        <v>1090</v>
      </c>
      <c r="D64" s="175">
        <v>0</v>
      </c>
      <c r="E64" s="175">
        <v>0</v>
      </c>
      <c r="F64" s="175">
        <v>0</v>
      </c>
      <c r="G64" s="175">
        <v>10</v>
      </c>
      <c r="H64" s="175">
        <v>10</v>
      </c>
    </row>
    <row r="65" spans="2:8" ht="15">
      <c r="B65" s="32"/>
      <c r="C65" s="32" t="s">
        <v>1091</v>
      </c>
      <c r="D65" s="166">
        <f>D62+D63-D64</f>
        <v>0</v>
      </c>
      <c r="E65" s="166">
        <f t="shared" ref="E65:H65" si="19">E62+E63-E64</f>
        <v>137.5</v>
      </c>
      <c r="F65" s="166">
        <f t="shared" si="19"/>
        <v>150</v>
      </c>
      <c r="G65" s="166">
        <f t="shared" si="19"/>
        <v>140</v>
      </c>
      <c r="H65" s="166">
        <f t="shared" si="19"/>
        <v>130</v>
      </c>
    </row>
    <row r="66" spans="2:8" ht="15">
      <c r="B66" s="32"/>
      <c r="C66" s="32" t="s">
        <v>1092</v>
      </c>
      <c r="D66" s="166">
        <v>0</v>
      </c>
      <c r="E66" s="166">
        <f>E68/E67</f>
        <v>63.041182682154165</v>
      </c>
      <c r="F66" s="166">
        <f t="shared" ref="F66:H66" si="20">F68/F67</f>
        <v>149.5248152059134</v>
      </c>
      <c r="G66" s="166">
        <f t="shared" si="20"/>
        <v>145.40654699049628</v>
      </c>
      <c r="H66" s="166">
        <f t="shared" si="20"/>
        <v>135.37486800422386</v>
      </c>
    </row>
    <row r="67" spans="2:8">
      <c r="B67" s="32"/>
      <c r="C67" s="32" t="s">
        <v>1093</v>
      </c>
      <c r="D67" s="175">
        <v>0</v>
      </c>
      <c r="E67" s="467">
        <v>9.4700000000000006E-2</v>
      </c>
      <c r="F67" s="467">
        <v>9.4700000000000006E-2</v>
      </c>
      <c r="G67" s="467">
        <v>9.4700000000000006E-2</v>
      </c>
      <c r="H67" s="467">
        <v>9.4700000000000006E-2</v>
      </c>
    </row>
    <row r="68" spans="2:8">
      <c r="B68" s="32"/>
      <c r="C68" s="32" t="s">
        <v>457</v>
      </c>
      <c r="D68" s="175">
        <v>0</v>
      </c>
      <c r="E68" s="175">
        <v>5.97</v>
      </c>
      <c r="F68" s="175">
        <v>14.16</v>
      </c>
      <c r="G68" s="175">
        <v>13.77</v>
      </c>
      <c r="H68" s="175">
        <v>12.82</v>
      </c>
    </row>
    <row r="69" spans="2:8">
      <c r="B69" s="32"/>
      <c r="C69" s="32" t="s">
        <v>458</v>
      </c>
      <c r="D69" s="175">
        <v>0</v>
      </c>
      <c r="E69" s="175">
        <v>0</v>
      </c>
      <c r="F69" s="175">
        <v>0</v>
      </c>
      <c r="G69" s="175">
        <v>0</v>
      </c>
      <c r="H69" s="175">
        <v>0</v>
      </c>
    </row>
    <row r="70" spans="2:8" ht="15">
      <c r="B70" s="32"/>
      <c r="C70" s="32" t="s">
        <v>459</v>
      </c>
      <c r="D70" s="166">
        <f>D68+D69</f>
        <v>0</v>
      </c>
      <c r="E70" s="166">
        <f t="shared" ref="E70:H70" si="21">E68+E69</f>
        <v>5.97</v>
      </c>
      <c r="F70" s="166">
        <f t="shared" si="21"/>
        <v>14.16</v>
      </c>
      <c r="G70" s="166">
        <f t="shared" si="21"/>
        <v>13.77</v>
      </c>
      <c r="H70" s="166">
        <f t="shared" si="21"/>
        <v>12.82</v>
      </c>
    </row>
    <row r="71" spans="2:8" ht="15">
      <c r="B71" s="25">
        <v>5</v>
      </c>
      <c r="C71" s="45" t="s">
        <v>1098</v>
      </c>
      <c r="D71" s="175"/>
      <c r="E71" s="175"/>
      <c r="F71" s="175"/>
      <c r="G71" s="175"/>
      <c r="H71" s="175"/>
    </row>
    <row r="72" spans="2:8">
      <c r="B72" s="32"/>
      <c r="C72" s="32" t="s">
        <v>13</v>
      </c>
      <c r="D72" s="175">
        <v>0</v>
      </c>
      <c r="E72" s="175">
        <f>D75</f>
        <v>0</v>
      </c>
      <c r="F72" s="175">
        <f>E75</f>
        <v>191.67</v>
      </c>
      <c r="G72" s="175">
        <f>F75</f>
        <v>575</v>
      </c>
      <c r="H72" s="175">
        <f>G75</f>
        <v>919.93</v>
      </c>
    </row>
    <row r="73" spans="2:8">
      <c r="B73" s="32"/>
      <c r="C73" s="32" t="s">
        <v>1089</v>
      </c>
      <c r="D73" s="175">
        <v>0</v>
      </c>
      <c r="E73" s="175">
        <v>191.67</v>
      </c>
      <c r="F73" s="175">
        <v>383.33</v>
      </c>
      <c r="G73" s="175">
        <v>383.33</v>
      </c>
      <c r="H73" s="175">
        <v>191.67</v>
      </c>
    </row>
    <row r="74" spans="2:8">
      <c r="B74" s="32"/>
      <c r="C74" s="32" t="s">
        <v>1090</v>
      </c>
      <c r="D74" s="175">
        <v>0</v>
      </c>
      <c r="E74" s="175">
        <v>0</v>
      </c>
      <c r="F74" s="175">
        <v>0</v>
      </c>
      <c r="G74" s="175">
        <v>38.4</v>
      </c>
      <c r="H74" s="175">
        <v>76.8</v>
      </c>
    </row>
    <row r="75" spans="2:8" ht="15">
      <c r="B75" s="32"/>
      <c r="C75" s="32" t="s">
        <v>1091</v>
      </c>
      <c r="D75" s="166">
        <f>D72+D73-D74</f>
        <v>0</v>
      </c>
      <c r="E75" s="166">
        <f>E72+E73-E74</f>
        <v>191.67</v>
      </c>
      <c r="F75" s="166">
        <f>F72+F73-F74</f>
        <v>575</v>
      </c>
      <c r="G75" s="166">
        <f>G72+G73-G74</f>
        <v>919.93</v>
      </c>
      <c r="H75" s="166">
        <f>H72+H73-H74</f>
        <v>1034.8</v>
      </c>
    </row>
    <row r="76" spans="2:8" ht="15">
      <c r="B76" s="32"/>
      <c r="C76" s="32" t="s">
        <v>1092</v>
      </c>
      <c r="D76" s="166">
        <v>0</v>
      </c>
      <c r="E76" s="166">
        <f>E80/E77</f>
        <v>47.940865892291441</v>
      </c>
      <c r="F76" s="166">
        <f t="shared" ref="F76:H76" si="22">F80/F77</f>
        <v>383.31573389651527</v>
      </c>
      <c r="G76" s="166">
        <f t="shared" si="22"/>
        <v>758.71172122492067</v>
      </c>
      <c r="H76" s="166">
        <f t="shared" si="22"/>
        <v>1028.5110876451954</v>
      </c>
    </row>
    <row r="77" spans="2:8">
      <c r="B77" s="32"/>
      <c r="C77" s="32" t="s">
        <v>1093</v>
      </c>
      <c r="D77" s="175">
        <v>0</v>
      </c>
      <c r="E77" s="467">
        <v>9.4700000000000006E-2</v>
      </c>
      <c r="F77" s="467">
        <v>9.4700000000000006E-2</v>
      </c>
      <c r="G77" s="467">
        <v>9.4700000000000006E-2</v>
      </c>
      <c r="H77" s="467">
        <v>9.4700000000000006E-2</v>
      </c>
    </row>
    <row r="78" spans="2:8">
      <c r="B78" s="32"/>
      <c r="C78" s="32" t="s">
        <v>457</v>
      </c>
      <c r="D78" s="175">
        <v>0</v>
      </c>
      <c r="E78" s="175">
        <v>4.54</v>
      </c>
      <c r="F78" s="175">
        <v>36.299999999999997</v>
      </c>
      <c r="G78" s="175">
        <v>71.849999999999994</v>
      </c>
      <c r="H78" s="175">
        <v>97.4</v>
      </c>
    </row>
    <row r="79" spans="2:8">
      <c r="B79" s="32"/>
      <c r="C79" s="32" t="s">
        <v>458</v>
      </c>
      <c r="D79" s="175">
        <v>0</v>
      </c>
      <c r="E79" s="175">
        <v>0</v>
      </c>
      <c r="F79" s="175">
        <v>0</v>
      </c>
      <c r="G79" s="175">
        <v>0</v>
      </c>
      <c r="H79" s="175">
        <v>0</v>
      </c>
    </row>
    <row r="80" spans="2:8" ht="15">
      <c r="B80" s="32"/>
      <c r="C80" s="32" t="s">
        <v>459</v>
      </c>
      <c r="D80" s="166">
        <f>D78+D79</f>
        <v>0</v>
      </c>
      <c r="E80" s="166">
        <f>E78+E79</f>
        <v>4.54</v>
      </c>
      <c r="F80" s="166">
        <f t="shared" ref="F80:H80" si="23">F78+F79</f>
        <v>36.299999999999997</v>
      </c>
      <c r="G80" s="166">
        <f t="shared" si="23"/>
        <v>71.849999999999994</v>
      </c>
      <c r="H80" s="166">
        <f t="shared" si="23"/>
        <v>97.4</v>
      </c>
    </row>
    <row r="81" spans="2:11">
      <c r="B81" s="32"/>
      <c r="C81" s="32" t="s">
        <v>1095</v>
      </c>
      <c r="D81" s="175"/>
      <c r="E81" s="175"/>
      <c r="F81" s="175"/>
      <c r="G81" s="175"/>
      <c r="H81" s="175"/>
    </row>
    <row r="82" spans="2:11" ht="15">
      <c r="B82" s="25"/>
      <c r="C82" s="45" t="s">
        <v>78</v>
      </c>
      <c r="D82" s="175"/>
      <c r="E82" s="175"/>
      <c r="F82" s="175"/>
      <c r="G82" s="175"/>
      <c r="H82" s="175"/>
    </row>
    <row r="83" spans="2:11" ht="15">
      <c r="B83" s="32"/>
      <c r="C83" s="32" t="s">
        <v>13</v>
      </c>
      <c r="D83" s="166">
        <f>D30+D40+D51+D62+D72</f>
        <v>18748.55</v>
      </c>
      <c r="E83" s="166">
        <f t="shared" ref="E83:H83" si="24">E30+E40+E51+E62+E72</f>
        <v>21270.920000000002</v>
      </c>
      <c r="F83" s="166">
        <f t="shared" si="24"/>
        <v>25301.279999999999</v>
      </c>
      <c r="G83" s="166">
        <f t="shared" si="24"/>
        <v>24960.720000000001</v>
      </c>
      <c r="H83" s="166">
        <f t="shared" si="24"/>
        <v>24088.92</v>
      </c>
    </row>
    <row r="84" spans="2:11" ht="15">
      <c r="B84" s="32"/>
      <c r="C84" s="32" t="s">
        <v>1089</v>
      </c>
      <c r="D84" s="166">
        <f t="shared" ref="D84:H85" si="25">D31+D41+D52+D63+D73</f>
        <v>2522.37</v>
      </c>
      <c r="E84" s="166">
        <f t="shared" si="25"/>
        <v>4214.45</v>
      </c>
      <c r="F84" s="166">
        <f t="shared" si="25"/>
        <v>395.83</v>
      </c>
      <c r="G84" s="166">
        <f t="shared" si="25"/>
        <v>383.33</v>
      </c>
      <c r="H84" s="166">
        <f t="shared" si="25"/>
        <v>191.67</v>
      </c>
    </row>
    <row r="85" spans="2:11" ht="15">
      <c r="B85" s="32"/>
      <c r="C85" s="32" t="s">
        <v>1090</v>
      </c>
      <c r="D85" s="166">
        <f t="shared" si="25"/>
        <v>0</v>
      </c>
      <c r="E85" s="166">
        <f t="shared" si="25"/>
        <v>184.09</v>
      </c>
      <c r="F85" s="166">
        <f t="shared" si="25"/>
        <v>736.39</v>
      </c>
      <c r="G85" s="166">
        <f t="shared" si="25"/>
        <v>1255.1300000000001</v>
      </c>
      <c r="H85" s="166">
        <f t="shared" si="25"/>
        <v>1763.8799999999999</v>
      </c>
    </row>
    <row r="86" spans="2:11" ht="15">
      <c r="B86" s="32"/>
      <c r="C86" s="32" t="s">
        <v>1091</v>
      </c>
      <c r="D86" s="166">
        <f>D83+D84-D85</f>
        <v>21270.92</v>
      </c>
      <c r="E86" s="166">
        <f t="shared" ref="E86:H86" si="26">E83+E84-E85</f>
        <v>25301.280000000002</v>
      </c>
      <c r="F86" s="166">
        <f t="shared" si="26"/>
        <v>24960.720000000001</v>
      </c>
      <c r="G86" s="166">
        <f t="shared" si="26"/>
        <v>24088.920000000002</v>
      </c>
      <c r="H86" s="166">
        <f t="shared" si="26"/>
        <v>22516.709999999995</v>
      </c>
    </row>
    <row r="87" spans="2:11" ht="15">
      <c r="B87" s="32"/>
      <c r="C87" s="32" t="s">
        <v>1092</v>
      </c>
      <c r="D87" s="166">
        <f>D91/D88</f>
        <v>19738.489871086556</v>
      </c>
      <c r="E87" s="166">
        <f>E34+E44+E55+E66+E76</f>
        <v>23836.834374914262</v>
      </c>
      <c r="F87" s="166">
        <f>F34+F44+F55+F66+F76</f>
        <v>25169.518219836071</v>
      </c>
      <c r="G87" s="166">
        <f>G34+G44+G55+G66+G76</f>
        <v>24771.571591154927</v>
      </c>
      <c r="H87" s="166">
        <f>H34+H44+H55+H66+H76</f>
        <v>23504.696037395788</v>
      </c>
      <c r="K87" s="124"/>
    </row>
    <row r="88" spans="2:11">
      <c r="B88" s="32"/>
      <c r="C88" s="32" t="s">
        <v>1093</v>
      </c>
      <c r="D88" s="467">
        <v>0.1086</v>
      </c>
      <c r="E88" s="467">
        <v>0.1072</v>
      </c>
      <c r="F88" s="467">
        <v>0.10680000000000001</v>
      </c>
      <c r="G88" s="467">
        <v>0.1067</v>
      </c>
      <c r="H88" s="467">
        <v>0.1066</v>
      </c>
    </row>
    <row r="89" spans="2:11" ht="15">
      <c r="B89" s="32"/>
      <c r="C89" s="32" t="s">
        <v>457</v>
      </c>
      <c r="D89" s="166">
        <f>D36+D46+D57+D68+D78</f>
        <v>2143.6</v>
      </c>
      <c r="E89" s="166">
        <f t="shared" ref="E89:H90" si="27">E36+E46+E57+E68+E78</f>
        <v>2556.17</v>
      </c>
      <c r="F89" s="166">
        <f t="shared" si="27"/>
        <v>2687.3900000000003</v>
      </c>
      <c r="G89" s="166">
        <f t="shared" si="27"/>
        <v>2644.21</v>
      </c>
      <c r="H89" s="166">
        <f t="shared" si="27"/>
        <v>2506.56</v>
      </c>
    </row>
    <row r="90" spans="2:11" ht="15">
      <c r="B90" s="32"/>
      <c r="C90" s="32" t="s">
        <v>458</v>
      </c>
      <c r="D90" s="166">
        <f>D37+D47+D58+D69+D79</f>
        <v>0</v>
      </c>
      <c r="E90" s="166">
        <f t="shared" si="27"/>
        <v>0</v>
      </c>
      <c r="F90" s="166">
        <f t="shared" si="27"/>
        <v>0</v>
      </c>
      <c r="G90" s="166">
        <f t="shared" si="27"/>
        <v>0</v>
      </c>
      <c r="H90" s="166">
        <f t="shared" si="27"/>
        <v>0</v>
      </c>
    </row>
    <row r="91" spans="2:11" ht="15">
      <c r="B91" s="32"/>
      <c r="C91" s="32" t="s">
        <v>459</v>
      </c>
      <c r="D91" s="166">
        <f>D89+D90</f>
        <v>2143.6</v>
      </c>
      <c r="E91" s="166">
        <f t="shared" ref="E91:H91" si="28">E89+E90</f>
        <v>2556.17</v>
      </c>
      <c r="F91" s="166">
        <f t="shared" si="28"/>
        <v>2687.3900000000003</v>
      </c>
      <c r="G91" s="166">
        <f t="shared" si="28"/>
        <v>2644.21</v>
      </c>
      <c r="H91" s="166">
        <f t="shared" si="28"/>
        <v>2506.56</v>
      </c>
    </row>
  </sheetData>
  <mergeCells count="5">
    <mergeCell ref="B26:B28"/>
    <mergeCell ref="C26:C28"/>
    <mergeCell ref="B2:H2"/>
    <mergeCell ref="B3:H3"/>
    <mergeCell ref="B4:H4"/>
  </mergeCells>
  <pageMargins left="0.2" right="0.2" top="0.5" bottom="0.75" header="0.3" footer="0.3"/>
  <pageSetup paperSize="9" fitToHeight="0" orientation="landscape" r:id="rId1"/>
  <rowBreaks count="2" manualBreakCount="2">
    <brk id="24" max="16383" man="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21</vt:i4>
      </vt:variant>
    </vt:vector>
  </HeadingPairs>
  <TitlesOfParts>
    <vt:vector size="51" baseType="lpstr">
      <vt:lpstr>Title</vt:lpstr>
      <vt:lpstr>Checklist</vt:lpstr>
      <vt:lpstr>F1</vt:lpstr>
      <vt:lpstr>F2</vt:lpstr>
      <vt:lpstr>F3</vt:lpstr>
      <vt:lpstr>F3.1</vt:lpstr>
      <vt:lpstr>F3.2</vt:lpstr>
      <vt:lpstr>F4</vt:lpstr>
      <vt:lpstr>F5</vt:lpstr>
      <vt:lpstr>F6</vt:lpstr>
      <vt:lpstr>F7</vt:lpstr>
      <vt:lpstr>F8</vt:lpstr>
      <vt:lpstr>F9</vt:lpstr>
      <vt:lpstr>F10</vt:lpstr>
      <vt:lpstr>F11</vt:lpstr>
      <vt:lpstr>F11.1</vt:lpstr>
      <vt:lpstr>F12</vt:lpstr>
      <vt:lpstr>F13</vt:lpstr>
      <vt:lpstr>F14</vt:lpstr>
      <vt:lpstr>F15</vt:lpstr>
      <vt:lpstr>F17</vt:lpstr>
      <vt:lpstr>F19.1</vt:lpstr>
      <vt:lpstr>F19.2</vt:lpstr>
      <vt:lpstr>F19.3</vt:lpstr>
      <vt:lpstr>F19.4</vt:lpstr>
      <vt:lpstr>F19.5</vt:lpstr>
      <vt:lpstr>F19.6</vt:lpstr>
      <vt:lpstr>F19.7n</vt:lpstr>
      <vt:lpstr>F19.8</vt:lpstr>
      <vt:lpstr>VC</vt:lpstr>
      <vt:lpstr>Checklist!Print_Area</vt:lpstr>
      <vt:lpstr>'F1'!Print_Area</vt:lpstr>
      <vt:lpstr>'F10'!Print_Area</vt:lpstr>
      <vt:lpstr>'F11'!Print_Area</vt:lpstr>
      <vt:lpstr>F11.1!Print_Area</vt:lpstr>
      <vt:lpstr>'F13'!Print_Area</vt:lpstr>
      <vt:lpstr>'F17'!Print_Area</vt:lpstr>
      <vt:lpstr>F19.1!Print_Area</vt:lpstr>
      <vt:lpstr>F19.2!Print_Area</vt:lpstr>
      <vt:lpstr>F19.5!Print_Area</vt:lpstr>
      <vt:lpstr>F19.6!Print_Area</vt:lpstr>
      <vt:lpstr>F19.7n!Print_Area</vt:lpstr>
      <vt:lpstr>F19.8!Print_Area</vt:lpstr>
      <vt:lpstr>'F2'!Print_Area</vt:lpstr>
      <vt:lpstr>'F3'!Print_Area</vt:lpstr>
      <vt:lpstr>F3.1!Print_Area</vt:lpstr>
      <vt:lpstr>'F4'!Print_Area</vt:lpstr>
      <vt:lpstr>'F6'!Print_Area</vt:lpstr>
      <vt:lpstr>'F7'!Print_Area</vt:lpstr>
      <vt:lpstr>'F8'!Print_Area</vt:lpstr>
      <vt:lpstr>Title!Print_Area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Palaniappan M</dc:creator>
  <cp:lastModifiedBy>acer</cp:lastModifiedBy>
  <cp:lastPrinted>2025-11-19T06:56:42Z</cp:lastPrinted>
  <dcterms:created xsi:type="dcterms:W3CDTF">2004-07-28T05:30:50Z</dcterms:created>
  <dcterms:modified xsi:type="dcterms:W3CDTF">2025-12-17T10:36:16Z</dcterms:modified>
</cp:coreProperties>
</file>